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sryo\Desktop\"/>
    </mc:Choice>
  </mc:AlternateContent>
  <bookViews>
    <workbookView xWindow="0" yWindow="0" windowWidth="34530" windowHeight="13440" xr2:uid="{D264251C-6F76-4E6F-AE0F-23826499549E}"/>
  </bookViews>
  <sheets>
    <sheet name="Sheet1" sheetId="1" r:id="rId1"/>
  </sheets>
  <externalReferences>
    <externalReference r:id="rId2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5" i="1" l="1"/>
  <c r="B115" i="1"/>
  <c r="D104" i="1"/>
  <c r="F93" i="1"/>
  <c r="B83" i="1"/>
  <c r="D72" i="1"/>
  <c r="F61" i="1"/>
  <c r="B51" i="1"/>
  <c r="A125" i="1"/>
  <c r="C114" i="1"/>
  <c r="E103" i="1"/>
  <c r="A93" i="1"/>
  <c r="C82" i="1"/>
  <c r="E71" i="1"/>
  <c r="A61" i="1"/>
  <c r="C50" i="1"/>
  <c r="D121" i="1"/>
  <c r="B100" i="1"/>
  <c r="F78" i="1"/>
  <c r="D57" i="1"/>
  <c r="A39" i="1"/>
  <c r="C28" i="1"/>
  <c r="E17" i="1"/>
  <c r="A7" i="1"/>
  <c r="F32" i="1"/>
  <c r="A120" i="1"/>
  <c r="E98" i="1"/>
  <c r="C77" i="1"/>
  <c r="A56" i="1"/>
  <c r="F34" i="1"/>
  <c r="B117" i="1"/>
  <c r="D106" i="1"/>
  <c r="F95" i="1"/>
  <c r="B85" i="1"/>
  <c r="D74" i="1"/>
  <c r="F63" i="1"/>
  <c r="B53" i="1"/>
  <c r="D42" i="1"/>
  <c r="C116" i="1"/>
  <c r="E105" i="1"/>
  <c r="A95" i="1"/>
  <c r="C84" i="1"/>
  <c r="E73" i="1"/>
  <c r="A63" i="1"/>
  <c r="C52" i="1"/>
  <c r="D125" i="1"/>
  <c r="B104" i="1"/>
  <c r="F82" i="1"/>
  <c r="D61" i="1"/>
  <c r="A41" i="1"/>
  <c r="C30" i="1"/>
  <c r="E19" i="1"/>
  <c r="A9" i="1"/>
  <c r="F36" i="1"/>
  <c r="A124" i="1"/>
  <c r="E102" i="1"/>
  <c r="C81" i="1"/>
  <c r="A60" i="1"/>
  <c r="F38" i="1"/>
  <c r="D123" i="1"/>
  <c r="B102" i="1"/>
  <c r="D124" i="1"/>
  <c r="F113" i="1"/>
  <c r="B103" i="1"/>
  <c r="D92" i="1"/>
  <c r="F81" i="1"/>
  <c r="B71" i="1"/>
  <c r="D60" i="1"/>
  <c r="F49" i="1"/>
  <c r="E123" i="1"/>
  <c r="A113" i="1"/>
  <c r="C102" i="1"/>
  <c r="E91" i="1"/>
  <c r="A81" i="1"/>
  <c r="C70" i="1"/>
  <c r="E59" i="1"/>
  <c r="A49" i="1"/>
  <c r="F118" i="1"/>
  <c r="D97" i="1"/>
  <c r="B76" i="1"/>
  <c r="F54" i="1"/>
  <c r="E37" i="1"/>
  <c r="D102" i="1"/>
  <c r="F59" i="1"/>
  <c r="E101" i="1"/>
  <c r="A59" i="1"/>
  <c r="F74" i="1"/>
  <c r="C24" i="1"/>
  <c r="A3" i="1"/>
  <c r="A112" i="1"/>
  <c r="C69" i="1"/>
  <c r="F28" i="1"/>
  <c r="B106" i="1"/>
  <c r="D79" i="1"/>
  <c r="B58" i="1"/>
  <c r="C39" i="1"/>
  <c r="E28" i="1"/>
  <c r="A18" i="1"/>
  <c r="C7" i="1"/>
  <c r="E112" i="1"/>
  <c r="D34" i="1"/>
  <c r="B5" i="1"/>
  <c r="E52" i="1"/>
  <c r="D11" i="1"/>
  <c r="A78" i="1"/>
  <c r="F17" i="1"/>
  <c r="C103" i="1"/>
  <c r="F29" i="1"/>
  <c r="B121" i="1"/>
  <c r="D78" i="1"/>
  <c r="C120" i="1"/>
  <c r="E77" i="1"/>
  <c r="B112" i="1"/>
  <c r="C34" i="1"/>
  <c r="A13" i="1"/>
  <c r="F24" i="1"/>
  <c r="C89" i="1"/>
  <c r="C45" i="1"/>
  <c r="D119" i="1"/>
  <c r="B90" i="1"/>
  <c r="D67" i="1"/>
  <c r="B46" i="1"/>
  <c r="C33" i="1"/>
  <c r="E22" i="1"/>
  <c r="A12" i="1"/>
  <c r="C1" i="1"/>
  <c r="B123" i="1"/>
  <c r="D112" i="1"/>
  <c r="F101" i="1"/>
  <c r="B91" i="1"/>
  <c r="D80" i="1"/>
  <c r="F69" i="1"/>
  <c r="B59" i="1"/>
  <c r="D48" i="1"/>
  <c r="C122" i="1"/>
  <c r="E111" i="1"/>
  <c r="A101" i="1"/>
  <c r="C90" i="1"/>
  <c r="E79" i="1"/>
  <c r="A69" i="1"/>
  <c r="C58" i="1"/>
  <c r="E47" i="1"/>
  <c r="B116" i="1"/>
  <c r="F94" i="1"/>
  <c r="D73" i="1"/>
  <c r="B52" i="1"/>
  <c r="C36" i="1"/>
  <c r="E25" i="1"/>
  <c r="A15" i="1"/>
  <c r="C4" i="1"/>
  <c r="B28" i="1"/>
  <c r="E114" i="1"/>
  <c r="C93" i="1"/>
  <c r="A72" i="1"/>
  <c r="E50" i="1"/>
  <c r="B125" i="1"/>
  <c r="D114" i="1"/>
  <c r="F103" i="1"/>
  <c r="B93" i="1"/>
  <c r="D82" i="1"/>
  <c r="F71" i="1"/>
  <c r="B61" i="1"/>
  <c r="D50" i="1"/>
  <c r="C124" i="1"/>
  <c r="E113" i="1"/>
  <c r="A103" i="1"/>
  <c r="C92" i="1"/>
  <c r="E81" i="1"/>
  <c r="A71" i="1"/>
  <c r="C60" i="1"/>
  <c r="E49" i="1"/>
  <c r="B120" i="1"/>
  <c r="F98" i="1"/>
  <c r="D77" i="1"/>
  <c r="B56" i="1"/>
  <c r="C38" i="1"/>
  <c r="E27" i="1"/>
  <c r="A17" i="1"/>
  <c r="C6" i="1"/>
  <c r="B32" i="1"/>
  <c r="E118" i="1"/>
  <c r="C97" i="1"/>
  <c r="A76" i="1"/>
  <c r="E54" i="1"/>
  <c r="D33" i="1"/>
  <c r="B118" i="1"/>
  <c r="F96" i="1"/>
  <c r="F121" i="1"/>
  <c r="B111" i="1"/>
  <c r="D100" i="1"/>
  <c r="F89" i="1"/>
  <c r="B79" i="1"/>
  <c r="D68" i="1"/>
  <c r="F57" i="1"/>
  <c r="B47" i="1"/>
  <c r="A121" i="1"/>
  <c r="C110" i="1"/>
  <c r="E99" i="1"/>
  <c r="A89" i="1"/>
  <c r="C78" i="1"/>
  <c r="E67" i="1"/>
  <c r="A57" i="1"/>
  <c r="C46" i="1"/>
  <c r="D113" i="1"/>
  <c r="B92" i="1"/>
  <c r="F70" i="1"/>
  <c r="D49" i="1"/>
  <c r="A35" i="1"/>
  <c r="F91" i="1"/>
  <c r="B49" i="1"/>
  <c r="A91" i="1"/>
  <c r="C48" i="1"/>
  <c r="D53" i="1"/>
  <c r="A19" i="1"/>
  <c r="D35" i="1"/>
  <c r="C101" i="1"/>
  <c r="E58" i="1"/>
  <c r="B20" i="1"/>
  <c r="D99" i="1"/>
  <c r="B74" i="1"/>
  <c r="F52" i="1"/>
  <c r="E36" i="1"/>
  <c r="A26" i="1"/>
  <c r="C15" i="1"/>
  <c r="E4" i="1"/>
  <c r="C91" i="1"/>
  <c r="F23" i="1"/>
  <c r="E116" i="1"/>
  <c r="D36" i="1"/>
  <c r="B6" i="1"/>
  <c r="E56" i="1"/>
  <c r="D12" i="1"/>
  <c r="A82" i="1"/>
  <c r="B19" i="1"/>
  <c r="D110" i="1"/>
  <c r="F67" i="1"/>
  <c r="E109" i="1"/>
  <c r="A67" i="1"/>
  <c r="F90" i="1"/>
  <c r="A29" i="1"/>
  <c r="E7" i="1"/>
  <c r="C121" i="1"/>
  <c r="E78" i="1"/>
  <c r="B36" i="1"/>
  <c r="D111" i="1"/>
  <c r="D83" i="1"/>
  <c r="B62" i="1"/>
  <c r="C41" i="1"/>
  <c r="E30" i="1"/>
  <c r="A20" i="1"/>
  <c r="C9" i="1"/>
  <c r="D17" i="1"/>
  <c r="C43" i="1"/>
  <c r="D120" i="1"/>
  <c r="F109" i="1"/>
  <c r="B99" i="1"/>
  <c r="D88" i="1"/>
  <c r="F77" i="1"/>
  <c r="B67" i="1"/>
  <c r="D56" i="1"/>
  <c r="F45" i="1"/>
  <c r="E119" i="1"/>
  <c r="A109" i="1"/>
  <c r="C98" i="1"/>
  <c r="E87" i="1"/>
  <c r="A77" i="1"/>
  <c r="C66" i="1"/>
  <c r="E55" i="1"/>
  <c r="A45" i="1"/>
  <c r="F110" i="1"/>
  <c r="D89" i="1"/>
  <c r="B68" i="1"/>
  <c r="F46" i="1"/>
  <c r="E33" i="1"/>
  <c r="A23" i="1"/>
  <c r="C12" i="1"/>
  <c r="E1" i="1"/>
  <c r="D23" i="1"/>
  <c r="C109" i="1"/>
  <c r="A88" i="1"/>
  <c r="E66" i="1"/>
  <c r="A44" i="1"/>
  <c r="D122" i="1"/>
  <c r="F111" i="1"/>
  <c r="B101" i="1"/>
  <c r="D90" i="1"/>
  <c r="F79" i="1"/>
  <c r="B69" i="1"/>
  <c r="D58" i="1"/>
  <c r="F47" i="1"/>
  <c r="E121" i="1"/>
  <c r="A111" i="1"/>
  <c r="C100" i="1"/>
  <c r="E89" i="1"/>
  <c r="A79" i="1"/>
  <c r="C68" i="1"/>
  <c r="E57" i="1"/>
  <c r="A47" i="1"/>
  <c r="F114" i="1"/>
  <c r="D93" i="1"/>
  <c r="B72" i="1"/>
  <c r="F50" i="1"/>
  <c r="E35" i="1"/>
  <c r="A25" i="1"/>
  <c r="C14" i="1"/>
  <c r="E3" i="1"/>
  <c r="F26" i="1"/>
  <c r="C113" i="1"/>
  <c r="A92" i="1"/>
  <c r="E70" i="1"/>
  <c r="C49" i="1"/>
  <c r="D27" i="1"/>
  <c r="F112" i="1"/>
  <c r="D91" i="1"/>
  <c r="B119" i="1"/>
  <c r="D108" i="1"/>
  <c r="F97" i="1"/>
  <c r="B87" i="1"/>
  <c r="D76" i="1"/>
  <c r="F65" i="1"/>
  <c r="B55" i="1"/>
  <c r="D44" i="1"/>
  <c r="C118" i="1"/>
  <c r="E107" i="1"/>
  <c r="A97" i="1"/>
  <c r="C86" i="1"/>
  <c r="E75" i="1"/>
  <c r="A65" i="1"/>
  <c r="C54" i="1"/>
  <c r="E43" i="1"/>
  <c r="B108" i="1"/>
  <c r="F86" i="1"/>
  <c r="D65" i="1"/>
  <c r="B44" i="1"/>
  <c r="F123" i="1"/>
  <c r="B81" i="1"/>
  <c r="A123" i="1"/>
  <c r="C80" i="1"/>
  <c r="D117" i="1"/>
  <c r="A37" i="1"/>
  <c r="E13" i="1"/>
  <c r="B26" i="1"/>
  <c r="E90" i="1"/>
  <c r="E46" i="1"/>
  <c r="F117" i="1"/>
  <c r="B75" i="1"/>
  <c r="A117" i="1"/>
  <c r="C74" i="1"/>
  <c r="D105" i="1"/>
  <c r="A31" i="1"/>
  <c r="C125" i="1"/>
  <c r="B40" i="1"/>
  <c r="F87" i="1"/>
  <c r="B45" i="1"/>
  <c r="A87" i="1"/>
  <c r="C44" i="1"/>
  <c r="D45" i="1"/>
  <c r="A1" i="1"/>
  <c r="C65" i="1"/>
  <c r="B86" i="1"/>
  <c r="D84" i="1"/>
  <c r="F41" i="1"/>
  <c r="E83" i="1"/>
  <c r="B124" i="1"/>
  <c r="C40" i="1"/>
  <c r="E69" i="1"/>
  <c r="E122" i="1"/>
  <c r="B114" i="1"/>
  <c r="D63" i="1"/>
  <c r="C31" i="1"/>
  <c r="A10" i="1"/>
  <c r="E48" i="1"/>
  <c r="A74" i="1"/>
  <c r="C99" i="1"/>
  <c r="F1" i="1"/>
  <c r="F6" i="1"/>
  <c r="D46" i="1"/>
  <c r="E45" i="1"/>
  <c r="C18" i="1"/>
  <c r="A100" i="1"/>
  <c r="F18" i="1"/>
  <c r="F72" i="1"/>
  <c r="A36" i="1"/>
  <c r="E14" i="1"/>
  <c r="A86" i="1"/>
  <c r="D14" i="1"/>
  <c r="A90" i="1"/>
  <c r="B23" i="1"/>
  <c r="C115" i="1"/>
  <c r="F35" i="1"/>
  <c r="F5" i="1"/>
  <c r="C55" i="1"/>
  <c r="F10" i="1"/>
  <c r="B73" i="1"/>
  <c r="A83" i="1"/>
  <c r="E39" i="1"/>
  <c r="D29" i="1"/>
  <c r="A52" i="1"/>
  <c r="B94" i="1"/>
  <c r="B97" i="1"/>
  <c r="D54" i="1"/>
  <c r="C96" i="1"/>
  <c r="E53" i="1"/>
  <c r="B64" i="1"/>
  <c r="E21" i="1"/>
  <c r="A48" i="1"/>
  <c r="E106" i="1"/>
  <c r="A64" i="1"/>
  <c r="B24" i="1"/>
  <c r="D103" i="1"/>
  <c r="F76" i="1"/>
  <c r="D55" i="1"/>
  <c r="A38" i="1"/>
  <c r="C27" i="1"/>
  <c r="E16" i="1"/>
  <c r="A6" i="1"/>
  <c r="A102" i="1"/>
  <c r="B29" i="1"/>
  <c r="D2" i="1"/>
  <c r="A42" i="1"/>
  <c r="F8" i="1"/>
  <c r="C67" i="1"/>
  <c r="B15" i="1"/>
  <c r="E92" i="1"/>
  <c r="D24" i="1"/>
  <c r="F115" i="1"/>
  <c r="C104" i="1"/>
  <c r="F58" i="1"/>
  <c r="D39" i="1"/>
  <c r="E62" i="1"/>
  <c r="D87" i="1"/>
  <c r="C29" i="1"/>
  <c r="B37" i="1"/>
  <c r="C83" i="1"/>
  <c r="F2" i="1"/>
  <c r="F11" i="1"/>
  <c r="B54" i="1"/>
  <c r="C5" i="1"/>
  <c r="B39" i="1"/>
  <c r="C87" i="1"/>
  <c r="C123" i="1"/>
  <c r="B70" i="1"/>
  <c r="C13" i="1"/>
  <c r="E100" i="1"/>
  <c r="D13" i="1"/>
  <c r="B18" i="1"/>
  <c r="D95" i="1"/>
  <c r="A46" i="1"/>
  <c r="E31" i="1"/>
  <c r="E18" i="1"/>
  <c r="D30" i="1"/>
  <c r="F21" i="1"/>
  <c r="D28" i="1"/>
  <c r="B107" i="1"/>
  <c r="D64" i="1"/>
  <c r="C106" i="1"/>
  <c r="E63" i="1"/>
  <c r="B84" i="1"/>
  <c r="C20" i="1"/>
  <c r="A104" i="1"/>
  <c r="F119" i="1"/>
  <c r="B77" i="1"/>
  <c r="A119" i="1"/>
  <c r="C76" i="1"/>
  <c r="D109" i="1"/>
  <c r="A33" i="1"/>
  <c r="B22" i="1"/>
  <c r="E42" i="1"/>
  <c r="D116" i="1"/>
  <c r="F73" i="1"/>
  <c r="E115" i="1"/>
  <c r="A73" i="1"/>
  <c r="F102" i="1"/>
  <c r="B113" i="1"/>
  <c r="B96" i="1"/>
  <c r="A80" i="1"/>
  <c r="F92" i="1"/>
  <c r="D47" i="1"/>
  <c r="C23" i="1"/>
  <c r="A2" i="1"/>
  <c r="F15" i="1"/>
  <c r="F25" i="1"/>
  <c r="D38" i="1"/>
  <c r="E60" i="1"/>
  <c r="F99" i="1"/>
  <c r="A99" i="1"/>
  <c r="D69" i="1"/>
  <c r="C2" i="1"/>
  <c r="A68" i="1"/>
  <c r="F104" i="1"/>
  <c r="F56" i="1"/>
  <c r="A28" i="1"/>
  <c r="E6" i="1"/>
  <c r="E64" i="1"/>
  <c r="B9" i="1"/>
  <c r="E68" i="1"/>
  <c r="D15" i="1"/>
  <c r="A94" i="1"/>
  <c r="B25" i="1"/>
  <c r="C119" i="1"/>
  <c r="F37" i="1"/>
  <c r="D5" i="1"/>
  <c r="F51" i="1"/>
  <c r="E61" i="1"/>
  <c r="C26" i="1"/>
  <c r="A116" i="1"/>
  <c r="B30" i="1"/>
  <c r="F80" i="1"/>
  <c r="D86" i="1"/>
  <c r="F43" i="1"/>
  <c r="E85" i="1"/>
  <c r="A43" i="1"/>
  <c r="F42" i="1"/>
  <c r="C16" i="1"/>
  <c r="F30" i="1"/>
  <c r="A96" i="1"/>
  <c r="C53" i="1"/>
  <c r="F124" i="1"/>
  <c r="D71" i="1"/>
  <c r="B50" i="1"/>
  <c r="E24" i="1"/>
  <c r="C3" i="1"/>
  <c r="E80" i="1"/>
  <c r="D18" i="1"/>
  <c r="D3" i="1"/>
  <c r="F14" i="1"/>
  <c r="D19" i="1"/>
  <c r="D6" i="1"/>
  <c r="D7" i="1"/>
  <c r="E2" i="1"/>
  <c r="D96" i="1"/>
  <c r="F53" i="1"/>
  <c r="E95" i="1"/>
  <c r="A53" i="1"/>
  <c r="F62" i="1"/>
  <c r="E9" i="1"/>
  <c r="E82" i="1"/>
  <c r="B109" i="1"/>
  <c r="D66" i="1"/>
  <c r="C108" i="1"/>
  <c r="E65" i="1"/>
  <c r="B88" i="1"/>
  <c r="C22" i="1"/>
  <c r="A108" i="1"/>
  <c r="D21" i="1"/>
  <c r="F105" i="1"/>
  <c r="B63" i="1"/>
  <c r="A105" i="1"/>
  <c r="C62" i="1"/>
  <c r="D81" i="1"/>
  <c r="D70" i="1"/>
  <c r="E29" i="1"/>
  <c r="D37" i="1"/>
  <c r="F84" i="1"/>
  <c r="B42" i="1"/>
  <c r="E20" i="1"/>
  <c r="A122" i="1"/>
  <c r="D10" i="1"/>
  <c r="F16" i="1"/>
  <c r="F27" i="1"/>
  <c r="D40" i="1"/>
  <c r="B89" i="1"/>
  <c r="C88" i="1"/>
  <c r="B48" i="1"/>
  <c r="B34" i="1"/>
  <c r="C57" i="1"/>
  <c r="B98" i="1"/>
  <c r="D51" i="1"/>
  <c r="C25" i="1"/>
  <c r="A4" i="1"/>
  <c r="F31" i="1"/>
  <c r="F3" i="1"/>
  <c r="C47" i="1"/>
  <c r="B10" i="1"/>
  <c r="E72" i="1"/>
  <c r="D16" i="1"/>
  <c r="A98" i="1"/>
  <c r="B27" i="1"/>
  <c r="B105" i="1"/>
  <c r="A115" i="1"/>
  <c r="F122" i="1"/>
  <c r="E15" i="1"/>
  <c r="E94" i="1"/>
  <c r="F22" i="1"/>
  <c r="D118" i="1"/>
  <c r="F75" i="1"/>
  <c r="E117" i="1"/>
  <c r="A75" i="1"/>
  <c r="F106" i="1"/>
  <c r="C32" i="1"/>
  <c r="A11" i="1"/>
  <c r="F20" i="1"/>
  <c r="C85" i="1"/>
  <c r="D41" i="1"/>
  <c r="F116" i="1"/>
  <c r="F88" i="1"/>
  <c r="B66" i="1"/>
  <c r="F44" i="1"/>
  <c r="E32" i="1"/>
  <c r="A22" i="1"/>
  <c r="C11" i="1"/>
  <c r="E124" i="1"/>
  <c r="C59" i="1"/>
  <c r="B13" i="1"/>
  <c r="E84" i="1"/>
  <c r="D20" i="1"/>
  <c r="A110" i="1"/>
  <c r="B33" i="1"/>
  <c r="D4" i="1"/>
  <c r="A50" i="1"/>
  <c r="D9" i="1"/>
  <c r="D62" i="1"/>
  <c r="A51" i="1"/>
  <c r="A21" i="1"/>
  <c r="C105" i="1"/>
  <c r="B122" i="1"/>
  <c r="D59" i="1"/>
  <c r="A8" i="1"/>
  <c r="A58" i="1"/>
  <c r="E108" i="1"/>
  <c r="D43" i="1"/>
  <c r="B8" i="1"/>
  <c r="E26" i="1"/>
  <c r="D26" i="1"/>
  <c r="A62" i="1"/>
  <c r="D8" i="1"/>
  <c r="E104" i="1"/>
  <c r="E34" i="1"/>
  <c r="C75" i="1"/>
  <c r="B2" i="1"/>
  <c r="C21" i="1"/>
  <c r="C35" i="1"/>
  <c r="A106" i="1"/>
  <c r="F9" i="1"/>
  <c r="F83" i="1"/>
  <c r="F100" i="1"/>
  <c r="A66" i="1"/>
  <c r="E96" i="1"/>
  <c r="C79" i="1"/>
  <c r="A32" i="1"/>
  <c r="F85" i="1"/>
  <c r="B43" i="1"/>
  <c r="A85" i="1"/>
  <c r="C42" i="1"/>
  <c r="E41" i="1"/>
  <c r="B38" i="1"/>
  <c r="C61" i="1"/>
  <c r="D98" i="1"/>
  <c r="F55" i="1"/>
  <c r="E97" i="1"/>
  <c r="A55" i="1"/>
  <c r="F66" i="1"/>
  <c r="E11" i="1"/>
  <c r="E86" i="1"/>
  <c r="D107" i="1"/>
  <c r="B95" i="1"/>
  <c r="D52" i="1"/>
  <c r="C94" i="1"/>
  <c r="E51" i="1"/>
  <c r="B60" i="1"/>
  <c r="C112" i="1"/>
  <c r="C8" i="1"/>
  <c r="F120" i="1"/>
  <c r="F68" i="1"/>
  <c r="A34" i="1"/>
  <c r="E12" i="1"/>
  <c r="A70" i="1"/>
  <c r="C95" i="1"/>
  <c r="E120" i="1"/>
  <c r="B7" i="1"/>
  <c r="B12" i="1"/>
  <c r="B57" i="1"/>
  <c r="C56" i="1"/>
  <c r="E23" i="1"/>
  <c r="E110" i="1"/>
  <c r="D25" i="1"/>
  <c r="B78" i="1"/>
  <c r="E38" i="1"/>
  <c r="C17" i="1"/>
  <c r="C107" i="1"/>
  <c r="B21" i="1"/>
  <c r="C111" i="1"/>
  <c r="F33" i="1"/>
  <c r="F4" i="1"/>
  <c r="C51" i="1"/>
  <c r="B11" i="1"/>
  <c r="E76" i="1"/>
  <c r="B16" i="1"/>
  <c r="D94" i="1"/>
  <c r="E93" i="1"/>
  <c r="B80" i="1"/>
  <c r="A5" i="1"/>
  <c r="C73" i="1"/>
  <c r="D115" i="1"/>
  <c r="F107" i="1"/>
  <c r="B65" i="1"/>
  <c r="A107" i="1"/>
  <c r="C64" i="1"/>
  <c r="D85" i="1"/>
  <c r="A27" i="1"/>
  <c r="E5" i="1"/>
  <c r="C117" i="1"/>
  <c r="E74" i="1"/>
  <c r="D31" i="1"/>
  <c r="B110" i="1"/>
  <c r="B82" i="1"/>
  <c r="F60" i="1"/>
  <c r="E40" i="1"/>
  <c r="A30" i="1"/>
  <c r="C19" i="1"/>
  <c r="E8" i="1"/>
  <c r="D1" i="1"/>
  <c r="F39" i="1"/>
  <c r="F7" i="1"/>
  <c r="C63" i="1"/>
  <c r="B14" i="1"/>
  <c r="E88" i="1"/>
  <c r="D22" i="1"/>
  <c r="A114" i="1"/>
  <c r="B35" i="1"/>
  <c r="B4" i="1"/>
  <c r="E125" i="1"/>
  <c r="D101" i="1"/>
  <c r="C10" i="1"/>
  <c r="A84" i="1"/>
  <c r="F108" i="1"/>
  <c r="A40" i="1"/>
  <c r="A118" i="1"/>
  <c r="F12" i="1"/>
  <c r="D32" i="1"/>
  <c r="E10" i="1"/>
  <c r="D75" i="1"/>
  <c r="A16" i="1"/>
  <c r="B1" i="1"/>
  <c r="F13" i="1"/>
  <c r="F64" i="1"/>
  <c r="E44" i="1"/>
  <c r="A24" i="1"/>
  <c r="B17" i="1"/>
  <c r="B41" i="1"/>
  <c r="A54" i="1"/>
  <c r="A14" i="1"/>
  <c r="B31" i="1"/>
  <c r="C71" i="1"/>
  <c r="C72" i="1"/>
  <c r="F40" i="1"/>
  <c r="F19" i="1"/>
  <c r="C37" i="1"/>
  <c r="F48" i="1"/>
  <c r="B3" i="1"/>
</calcChain>
</file>

<file path=xl/sharedStrings.xml><?xml version="1.0" encoding="utf-8"?>
<sst xmlns="http://schemas.openxmlformats.org/spreadsheetml/2006/main" count="1" uniqueCount="1">
  <si>
    <t>限月</t>
    <rPh sb="0" eb="2">
      <t>ゲンゲツ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</si>
</sst>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">
      <tp>
        <v>0</v>
        <stp/>
        <stp>OPBOARD</stp>
        <stp>N225op</stp>
        <stp>0</stp>
        <stp>C</stp>
        <stp>24000</stp>
        <stp>気配数量OVER</stp>
        <tr r="B2" s="1"/>
        <tr r="A2" s="1"/>
      </tp>
      <tp>
        <v>0</v>
        <stp/>
        <stp>OPBOARD</stp>
        <stp>N225op</stp>
        <stp>0</stp>
        <stp>P</stp>
        <stp>23750</stp>
        <stp>気配数量OVER</stp>
        <tr r="E2" s="1"/>
      </tp>
      <tp>
        <v>0</v>
        <stp/>
        <stp>OPBOARD</stp>
        <stp>N225op</stp>
        <stp>0</stp>
        <stp>C</stp>
        <stp>23750</stp>
        <stp>気配数量OVER</stp>
        <tr r="F2" s="1"/>
      </tp>
      <tp>
        <v>0</v>
        <stp/>
        <stp>OPBOARD</stp>
        <stp>N225op</stp>
        <stp>0</stp>
        <stp>P</stp>
        <stp>23875</stp>
        <stp>気配数量OVER</stp>
        <tr r="D2" s="1"/>
      </tp>
      <tp>
        <v>0</v>
        <stp/>
        <stp>OPBOARD</stp>
        <stp>N225op</stp>
        <stp>0</stp>
        <stp>C</stp>
        <stp>23875</stp>
        <stp>気配数量OVER</stp>
        <tr r="C2" s="1"/>
      </tp>
      <tp t="s">
        <v/>
        <stp/>
        <stp>OPBOARD</stp>
        <stp>N225op</stp>
        <stp>0</stp>
        <stp>P</stp>
        <stp>23875</stp>
        <stp>買気配フラグ8</stp>
        <tr r="D79" s="1"/>
      </tp>
      <tp t="s">
        <v/>
        <stp/>
        <stp>OPBOARD</stp>
        <stp>N225op</stp>
        <stp>0</stp>
        <stp>P</stp>
        <stp>23875</stp>
        <stp>買気配フラグ9</stp>
        <tr r="D85" s="1"/>
      </tp>
      <tp t="s">
        <v>Y</v>
        <stp/>
        <stp>OPBOARD</stp>
        <stp>N225op</stp>
        <stp>0</stp>
        <stp>P</stp>
        <stp>23875</stp>
        <stp>買気配フラグ6</stp>
        <tr r="D67" s="1"/>
      </tp>
      <tp t="s">
        <v/>
        <stp/>
        <stp>OPBOARD</stp>
        <stp>N225op</stp>
        <stp>0</stp>
        <stp>P</stp>
        <stp>23875</stp>
        <stp>買気配フラグ7</stp>
        <tr r="D73" s="1"/>
      </tp>
      <tp t="s">
        <v/>
        <stp/>
        <stp>OPBOARD</stp>
        <stp>N225op</stp>
        <stp>0</stp>
        <stp>P</stp>
        <stp>23875</stp>
        <stp>買気配フラグ4</stp>
        <tr r="D55" s="1"/>
      </tp>
      <tp t="s">
        <v/>
        <stp/>
        <stp>OPBOARD</stp>
        <stp>N225op</stp>
        <stp>0</stp>
        <stp>P</stp>
        <stp>23875</stp>
        <stp>買気配フラグ5</stp>
        <tr r="D61" s="1"/>
      </tp>
      <tp t="s">
        <v/>
        <stp/>
        <stp>OPBOARD</stp>
        <stp>N225op</stp>
        <stp>0</stp>
        <stp>P</stp>
        <stp>23875</stp>
        <stp>買気配フラグ2</stp>
        <tr r="D43" s="1"/>
      </tp>
      <tp t="s">
        <v/>
        <stp/>
        <stp>OPBOARD</stp>
        <stp>N225op</stp>
        <stp>0</stp>
        <stp>P</stp>
        <stp>23875</stp>
        <stp>買気配フラグ3</stp>
        <tr r="D49" s="1"/>
      </tp>
      <tp t="s">
        <v/>
        <stp/>
        <stp>OPBOARD</stp>
        <stp>N225op</stp>
        <stp>0</stp>
        <stp>P</stp>
        <stp>23875</stp>
        <stp>買気配フラグ0</stp>
        <tr r="D31" s="1"/>
      </tp>
      <tp t="s">
        <v/>
        <stp/>
        <stp>OPBOARD</stp>
        <stp>N225op</stp>
        <stp>0</stp>
        <stp>P</stp>
        <stp>23875</stp>
        <stp>買気配フラグ1</stp>
        <tr r="D37" s="1"/>
      </tp>
      <tp>
        <v>2</v>
        <stp/>
        <stp>OPBOARD</stp>
        <stp>N225op</stp>
        <stp>0</stp>
        <stp>C</stp>
        <stp>24000</stp>
        <stp>気配値15</stp>
        <tr r="B122" s="1"/>
        <tr r="A122" s="1"/>
      </tp>
      <tp>
        <v>3</v>
        <stp/>
        <stp>OPBOARD</stp>
        <stp>N225op</stp>
        <stp>0</stp>
        <stp>C</stp>
        <stp>24000</stp>
        <stp>気配値14</stp>
        <tr r="A116" s="1"/>
        <tr r="B116" s="1"/>
      </tp>
      <tp>
        <v>4</v>
        <stp/>
        <stp>OPBOARD</stp>
        <stp>N225op</stp>
        <stp>0</stp>
        <stp>C</stp>
        <stp>24000</stp>
        <stp>気配値13</stp>
        <tr r="B110" s="1"/>
        <tr r="A110" s="1"/>
      </tp>
      <tp>
        <v>5</v>
        <stp/>
        <stp>OPBOARD</stp>
        <stp>N225op</stp>
        <stp>0</stp>
        <stp>C</stp>
        <stp>24000</stp>
        <stp>気配値12</stp>
        <tr r="A104" s="1"/>
        <tr r="B104" s="1"/>
      </tp>
      <tp>
        <v>6</v>
        <stp/>
        <stp>OPBOARD</stp>
        <stp>N225op</stp>
        <stp>0</stp>
        <stp>C</stp>
        <stp>24000</stp>
        <stp>気配値11</stp>
        <tr r="A98" s="1"/>
        <tr r="B98" s="1"/>
        <tr r="A92" s="1"/>
      </tp>
      <tp>
        <v>7</v>
        <stp/>
        <stp>OPBOARD</stp>
        <stp>N225op</stp>
        <stp>0</stp>
        <stp>C</stp>
        <stp>24000</stp>
        <stp>気配値10</stp>
        <tr r="B92" s="1"/>
      </tp>
      <tp>
        <v>11</v>
        <stp/>
        <stp>OPBOARD</stp>
        <stp>N225op</stp>
        <stp>0</stp>
        <stp>C</stp>
        <stp>23750</stp>
        <stp>気配値10</stp>
        <tr r="F92" s="1"/>
      </tp>
      <tp>
        <v>10</v>
        <stp/>
        <stp>OPBOARD</stp>
        <stp>N225op</stp>
        <stp>0</stp>
        <stp>C</stp>
        <stp>23750</stp>
        <stp>気配値11</stp>
        <tr r="F98" s="1"/>
      </tp>
      <tp>
        <v>9</v>
        <stp/>
        <stp>OPBOARD</stp>
        <stp>N225op</stp>
        <stp>0</stp>
        <stp>C</stp>
        <stp>23750</stp>
        <stp>気配値12</stp>
        <tr r="F104" s="1"/>
      </tp>
      <tp>
        <v>8</v>
        <stp/>
        <stp>OPBOARD</stp>
        <stp>N225op</stp>
        <stp>0</stp>
        <stp>C</stp>
        <stp>23750</stp>
        <stp>気配値13</stp>
        <tr r="F110" s="1"/>
      </tp>
      <tp>
        <v>5</v>
        <stp/>
        <stp>OPBOARD</stp>
        <stp>N225op</stp>
        <stp>0</stp>
        <stp>C</stp>
        <stp>23750</stp>
        <stp>気配値14</stp>
        <tr r="F116" s="1"/>
      </tp>
      <tp>
        <v>4</v>
        <stp/>
        <stp>OPBOARD</stp>
        <stp>N225op</stp>
        <stp>0</stp>
        <stp>C</stp>
        <stp>23750</stp>
        <stp>気配値15</stp>
        <tr r="F122" s="1"/>
      </tp>
      <tp>
        <v>0</v>
        <stp/>
        <stp>OPBOARD</stp>
        <stp>N225op</stp>
        <stp>0</stp>
        <stp>P</stp>
        <stp>23750</stp>
        <stp>気配値13</stp>
        <tr r="E110" s="1"/>
      </tp>
      <tp>
        <v>0</v>
        <stp/>
        <stp>OPBOARD</stp>
        <stp>N225op</stp>
        <stp>0</stp>
        <stp>P</stp>
        <stp>23750</stp>
        <stp>気配値12</stp>
        <tr r="E104" s="1"/>
      </tp>
      <tp>
        <v>0</v>
        <stp/>
        <stp>OPBOARD</stp>
        <stp>N225op</stp>
        <stp>0</stp>
        <stp>P</stp>
        <stp>23750</stp>
        <stp>気配値11</stp>
        <tr r="E98" s="1"/>
      </tp>
      <tp>
        <v>0</v>
        <stp/>
        <stp>OPBOARD</stp>
        <stp>N225op</stp>
        <stp>0</stp>
        <stp>P</stp>
        <stp>23750</stp>
        <stp>気配値10</stp>
        <tr r="E92" s="1"/>
      </tp>
      <tp>
        <v>0</v>
        <stp/>
        <stp>OPBOARD</stp>
        <stp>N225op</stp>
        <stp>0</stp>
        <stp>P</stp>
        <stp>23750</stp>
        <stp>気配値15</stp>
        <tr r="E122" s="1"/>
      </tp>
      <tp>
        <v>0</v>
        <stp/>
        <stp>OPBOARD</stp>
        <stp>N225op</stp>
        <stp>0</stp>
        <stp>P</stp>
        <stp>23750</stp>
        <stp>気配値14</stp>
        <tr r="E116" s="1"/>
      </tp>
      <tp>
        <v>23</v>
        <stp/>
        <stp>OPBOARD</stp>
        <stp>N225op</stp>
        <stp>0</stp>
        <stp>C</stp>
        <stp>23750</stp>
        <stp>気配値-1</stp>
        <tr r="F26" s="1"/>
      </tp>
      <tp>
        <v>24</v>
        <stp/>
        <stp>OPBOARD</stp>
        <stp>N225op</stp>
        <stp>0</stp>
        <stp>C</stp>
        <stp>23750</stp>
        <stp>気配値-2</stp>
        <tr r="F20" s="1"/>
      </tp>
      <tp>
        <v>25</v>
        <stp/>
        <stp>OPBOARD</stp>
        <stp>N225op</stp>
        <stp>0</stp>
        <stp>C</stp>
        <stp>23750</stp>
        <stp>気配値-3</stp>
        <tr r="F14" s="1"/>
      </tp>
      <tp>
        <v>26</v>
        <stp/>
        <stp>OPBOARD</stp>
        <stp>N225op</stp>
        <stp>0</stp>
        <stp>C</stp>
        <stp>23750</stp>
        <stp>気配値-4</stp>
        <tr r="F8" s="1"/>
      </tp>
      <tp>
        <v>0</v>
        <stp/>
        <stp>OPBOARD</stp>
        <stp>N225op</stp>
        <stp>0</stp>
        <stp>P</stp>
        <stp>23750</stp>
        <stp>気配値-3</stp>
        <tr r="E14" s="1"/>
      </tp>
      <tp>
        <v>0</v>
        <stp/>
        <stp>OPBOARD</stp>
        <stp>N225op</stp>
        <stp>0</stp>
        <stp>P</stp>
        <stp>23750</stp>
        <stp>気配値-2</stp>
        <tr r="E20" s="1"/>
      </tp>
      <tp>
        <v>0</v>
        <stp/>
        <stp>OPBOARD</stp>
        <stp>N225op</stp>
        <stp>0</stp>
        <stp>P</stp>
        <stp>23750</stp>
        <stp>気配値-1</stp>
        <tr r="E26" s="1"/>
      </tp>
      <tp>
        <v>0</v>
        <stp/>
        <stp>OPBOARD</stp>
        <stp>N225op</stp>
        <stp>0</stp>
        <stp>P</stp>
        <stp>23750</stp>
        <stp>気配値-4</stp>
        <tr r="E8" s="1"/>
      </tp>
      <tp>
        <v>21</v>
        <stp/>
        <stp>OPBOARD</stp>
        <stp>N225op</stp>
        <stp>0</stp>
        <stp>C</stp>
        <stp>24000</stp>
        <stp>気配値-4</stp>
        <tr r="B8" s="1"/>
        <tr r="A8" s="1"/>
      </tp>
      <tp>
        <v>20</v>
        <stp/>
        <stp>OPBOARD</stp>
        <stp>N225op</stp>
        <stp>0</stp>
        <stp>C</stp>
        <stp>24000</stp>
        <stp>気配値-3</stp>
        <tr r="A14" s="1"/>
        <tr r="B14" s="1"/>
      </tp>
      <tp>
        <v>19</v>
        <stp/>
        <stp>OPBOARD</stp>
        <stp>N225op</stp>
        <stp>0</stp>
        <stp>C</stp>
        <stp>24000</stp>
        <stp>気配値-2</stp>
        <tr r="A20" s="1"/>
        <tr r="B20" s="1"/>
      </tp>
      <tp>
        <v>18</v>
        <stp/>
        <stp>OPBOARD</stp>
        <stp>N225op</stp>
        <stp>0</stp>
        <stp>C</stp>
        <stp>24000</stp>
        <stp>気配値-1</stp>
        <tr r="B26" s="1"/>
        <tr r="A26" s="1"/>
      </tp>
      <tp>
        <v>0</v>
        <stp/>
        <stp>OPBOARD</stp>
        <stp>N225op</stp>
        <stp>0</stp>
        <stp>C</stp>
        <stp>23875</stp>
        <stp>買気配数量-3</stp>
        <tr r="C11" s="1"/>
      </tp>
      <tp>
        <v>0</v>
        <stp/>
        <stp>OPBOARD</stp>
        <stp>N225op</stp>
        <stp>0</stp>
        <stp>C</stp>
        <stp>23875</stp>
        <stp>買気配数量-2</stp>
        <tr r="C17" s="1"/>
      </tp>
      <tp>
        <v>0</v>
        <stp/>
        <stp>OPBOARD</stp>
        <stp>N225op</stp>
        <stp>0</stp>
        <stp>C</stp>
        <stp>23875</stp>
        <stp>買気配数量-1</stp>
        <tr r="C23" s="1"/>
      </tp>
      <tp>
        <v>0</v>
        <stp/>
        <stp>OPBOARD</stp>
        <stp>N225op</stp>
        <stp>0</stp>
        <stp>C</stp>
        <stp>23875</stp>
        <stp>買気配数量-4</stp>
        <tr r="C5" s="1"/>
      </tp>
      <tp>
        <v>1</v>
        <stp/>
        <stp>OPBOARD</stp>
        <stp>N225op</stp>
        <stp>0</stp>
        <stp>C</stp>
        <stp>23875</stp>
        <stp>買気配数量13</stp>
        <tr r="C107" s="1"/>
      </tp>
      <tp>
        <v>2</v>
        <stp/>
        <stp>OPBOARD</stp>
        <stp>N225op</stp>
        <stp>0</stp>
        <stp>C</stp>
        <stp>23875</stp>
        <stp>買気配数量12</stp>
        <tr r="C101" s="1"/>
      </tp>
      <tp>
        <v>40</v>
        <stp/>
        <stp>OPBOARD</stp>
        <stp>N225op</stp>
        <stp>0</stp>
        <stp>C</stp>
        <stp>23875</stp>
        <stp>買気配数量11</stp>
        <tr r="C95" s="1"/>
      </tp>
      <tp>
        <v>75</v>
        <stp/>
        <stp>OPBOARD</stp>
        <stp>N225op</stp>
        <stp>0</stp>
        <stp>C</stp>
        <stp>23875</stp>
        <stp>買気配数量10</stp>
        <tr r="C89" s="1"/>
      </tp>
      <tp>
        <v>40</v>
        <stp/>
        <stp>OPBOARD</stp>
        <stp>N225op</stp>
        <stp>0</stp>
        <stp>C</stp>
        <stp>23875</stp>
        <stp>買気配数量15</stp>
        <tr r="C119" s="1"/>
      </tp>
      <tp>
        <v>20</v>
        <stp/>
        <stp>OPBOARD</stp>
        <stp>N225op</stp>
        <stp>0</stp>
        <stp>C</stp>
        <stp>23875</stp>
        <stp>買気配数量14</stp>
        <tr r="C113" s="1"/>
      </tp>
      <tp>
        <v>3</v>
        <stp/>
        <stp>OPBOARD</stp>
        <stp>N225op</stp>
        <stp>0</stp>
        <stp>C</stp>
        <stp>23875</stp>
        <stp>気配値15</stp>
        <tr r="C122" s="1"/>
      </tp>
      <tp>
        <v>4</v>
        <stp/>
        <stp>OPBOARD</stp>
        <stp>N225op</stp>
        <stp>0</stp>
        <stp>C</stp>
        <stp>23875</stp>
        <stp>気配値14</stp>
        <tr r="C116" s="1"/>
      </tp>
      <tp>
        <v>5</v>
        <stp/>
        <stp>OPBOARD</stp>
        <stp>N225op</stp>
        <stp>0</stp>
        <stp>C</stp>
        <stp>23875</stp>
        <stp>気配値13</stp>
        <tr r="C110" s="1"/>
      </tp>
      <tp>
        <v>7</v>
        <stp/>
        <stp>OPBOARD</stp>
        <stp>N225op</stp>
        <stp>0</stp>
        <stp>C</stp>
        <stp>23875</stp>
        <stp>気配値12</stp>
        <tr r="C104" s="1"/>
      </tp>
      <tp>
        <v>8</v>
        <stp/>
        <stp>OPBOARD</stp>
        <stp>N225op</stp>
        <stp>0</stp>
        <stp>C</stp>
        <stp>23875</stp>
        <stp>気配値11</stp>
        <tr r="C98" s="1"/>
      </tp>
      <tp>
        <v>9</v>
        <stp/>
        <stp>OPBOARD</stp>
        <stp>N225op</stp>
        <stp>0</stp>
        <stp>C</stp>
        <stp>23875</stp>
        <stp>気配値10</stp>
        <tr r="C92" s="1"/>
      </tp>
      <tp>
        <v>0</v>
        <stp/>
        <stp>OPBOARD</stp>
        <stp>N225op</stp>
        <stp>0</stp>
        <stp>P</stp>
        <stp>23875</stp>
        <stp>気配値14</stp>
        <tr r="D116" s="1"/>
      </tp>
      <tp>
        <v>0</v>
        <stp/>
        <stp>OPBOARD</stp>
        <stp>N225op</stp>
        <stp>0</stp>
        <stp>P</stp>
        <stp>23875</stp>
        <stp>気配値15</stp>
        <tr r="D122" s="1"/>
      </tp>
      <tp>
        <v>0</v>
        <stp/>
        <stp>OPBOARD</stp>
        <stp>N225op</stp>
        <stp>0</stp>
        <stp>P</stp>
        <stp>23875</stp>
        <stp>気配値10</stp>
        <tr r="D92" s="1"/>
      </tp>
      <tp>
        <v>0</v>
        <stp/>
        <stp>OPBOARD</stp>
        <stp>N225op</stp>
        <stp>0</stp>
        <stp>P</stp>
        <stp>23875</stp>
        <stp>気配値11</stp>
        <tr r="D98" s="1"/>
      </tp>
      <tp>
        <v>0</v>
        <stp/>
        <stp>OPBOARD</stp>
        <stp>N225op</stp>
        <stp>0</stp>
        <stp>P</stp>
        <stp>23875</stp>
        <stp>気配値12</stp>
        <tr r="D104" s="1"/>
      </tp>
      <tp>
        <v>0</v>
        <stp/>
        <stp>OPBOARD</stp>
        <stp>N225op</stp>
        <stp>0</stp>
        <stp>P</stp>
        <stp>23875</stp>
        <stp>気配値13</stp>
        <tr r="D110" s="1"/>
      </tp>
      <tp>
        <v>115</v>
        <stp/>
        <stp>OPBOARD</stp>
        <stp>N225op</stp>
        <stp>0</stp>
        <stp>C</stp>
        <stp>23875</stp>
        <stp>気配値-4</stp>
        <tr r="C8" s="1"/>
      </tp>
      <tp>
        <v>50</v>
        <stp/>
        <stp>OPBOARD</stp>
        <stp>N225op</stp>
        <stp>0</stp>
        <stp>C</stp>
        <stp>23875</stp>
        <stp>気配値-3</stp>
        <tr r="C14" s="1"/>
      </tp>
      <tp>
        <v>45</v>
        <stp/>
        <stp>OPBOARD</stp>
        <stp>N225op</stp>
        <stp>0</stp>
        <stp>C</stp>
        <stp>23875</stp>
        <stp>気配値-2</stp>
        <tr r="C20" s="1"/>
      </tp>
      <tp>
        <v>23</v>
        <stp/>
        <stp>OPBOARD</stp>
        <stp>N225op</stp>
        <stp>0</stp>
        <stp>C</stp>
        <stp>23875</stp>
        <stp>気配値-1</stp>
        <tr r="C26" s="1"/>
      </tp>
      <tp>
        <v>0</v>
        <stp/>
        <stp>OPBOARD</stp>
        <stp>N225op</stp>
        <stp>0</stp>
        <stp>P</stp>
        <stp>23875</stp>
        <stp>気配値-4</stp>
        <tr r="D8" s="1"/>
      </tp>
      <tp>
        <v>0</v>
        <stp/>
        <stp>OPBOARD</stp>
        <stp>N225op</stp>
        <stp>0</stp>
        <stp>P</stp>
        <stp>23875</stp>
        <stp>気配値-1</stp>
        <tr r="D26" s="1"/>
      </tp>
      <tp>
        <v>0</v>
        <stp/>
        <stp>OPBOARD</stp>
        <stp>N225op</stp>
        <stp>0</stp>
        <stp>P</stp>
        <stp>23875</stp>
        <stp>気配値-2</stp>
        <tr r="D20" s="1"/>
      </tp>
      <tp>
        <v>0</v>
        <stp/>
        <stp>OPBOARD</stp>
        <stp>N225op</stp>
        <stp>0</stp>
        <stp>P</stp>
        <stp>23875</stp>
        <stp>気配値-3</stp>
        <tr r="D14" s="1"/>
      </tp>
      <tp>
        <v>0</v>
        <stp/>
        <stp>OPBOARD</stp>
        <stp>N225op</stp>
        <stp>0</stp>
        <stp>C</stp>
        <stp>23750</stp>
        <stp>買気配数量-4</stp>
        <tr r="F5" s="1"/>
      </tp>
      <tp>
        <v>0</v>
        <stp/>
        <stp>OPBOARD</stp>
        <stp>N225op</stp>
        <stp>0</stp>
        <stp>C</stp>
        <stp>23750</stp>
        <stp>買気配数量-2</stp>
        <tr r="F17" s="1"/>
      </tp>
      <tp>
        <v>0</v>
        <stp/>
        <stp>OPBOARD</stp>
        <stp>N225op</stp>
        <stp>0</stp>
        <stp>C</stp>
        <stp>23750</stp>
        <stp>買気配数量-3</stp>
        <tr r="F11" s="1"/>
      </tp>
      <tp>
        <v>0</v>
        <stp/>
        <stp>OPBOARD</stp>
        <stp>N225op</stp>
        <stp>0</stp>
        <stp>C</stp>
        <stp>23750</stp>
        <stp>買気配数量-1</stp>
        <tr r="F23" s="1"/>
      </tp>
      <tp>
        <v>11</v>
        <stp/>
        <stp>OPBOARD</stp>
        <stp>N225op</stp>
        <stp>0</stp>
        <stp>C</stp>
        <stp>23750</stp>
        <stp>買気配数量14</stp>
        <tr r="F113" s="1"/>
      </tp>
      <tp>
        <v>20</v>
        <stp/>
        <stp>OPBOARD</stp>
        <stp>N225op</stp>
        <stp>0</stp>
        <stp>C</stp>
        <stp>23750</stp>
        <stp>買気配数量15</stp>
        <tr r="F119" s="1"/>
      </tp>
      <tp>
        <v>30</v>
        <stp/>
        <stp>OPBOARD</stp>
        <stp>N225op</stp>
        <stp>0</stp>
        <stp>C</stp>
        <stp>23750</stp>
        <stp>買気配数量12</stp>
        <tr r="F101" s="1"/>
      </tp>
      <tp>
        <v>31</v>
        <stp/>
        <stp>OPBOARD</stp>
        <stp>N225op</stp>
        <stp>0</stp>
        <stp>C</stp>
        <stp>23750</stp>
        <stp>買気配数量13</stp>
        <tr r="F107" s="1"/>
      </tp>
      <tp>
        <v>95</v>
        <stp/>
        <stp>OPBOARD</stp>
        <stp>N225op</stp>
        <stp>0</stp>
        <stp>C</stp>
        <stp>23750</stp>
        <stp>買気配数量10</stp>
        <tr r="F89" s="1"/>
      </tp>
      <tp>
        <v>34</v>
        <stp/>
        <stp>OPBOARD</stp>
        <stp>N225op</stp>
        <stp>0</stp>
        <stp>C</stp>
        <stp>23750</stp>
        <stp>買気配数量11</stp>
        <tr r="F95" s="1"/>
      </tp>
      <tp>
        <v>0</v>
        <stp/>
        <stp>OPBOARD</stp>
        <stp>N225op</stp>
        <stp>0</stp>
        <stp>C</stp>
        <stp>24000</stp>
        <stp>買気配数量-4</stp>
        <tr r="A5" s="1"/>
        <tr r="B5" s="1"/>
      </tp>
      <tp>
        <v>0</v>
        <stp/>
        <stp>OPBOARD</stp>
        <stp>N225op</stp>
        <stp>0</stp>
        <stp>C</stp>
        <stp>24000</stp>
        <stp>買気配数量-2</stp>
        <tr r="B17" s="1"/>
        <tr r="A17" s="1"/>
      </tp>
      <tp>
        <v>0</v>
        <stp/>
        <stp>OPBOARD</stp>
        <stp>N225op</stp>
        <stp>0</stp>
        <stp>C</stp>
        <stp>24000</stp>
        <stp>買気配数量-3</stp>
        <tr r="B11" s="1"/>
        <tr r="A11" s="1"/>
      </tp>
      <tp>
        <v>0</v>
        <stp/>
        <stp>OPBOARD</stp>
        <stp>N225op</stp>
        <stp>0</stp>
        <stp>C</stp>
        <stp>24000</stp>
        <stp>買気配数量-1</stp>
        <tr r="B23" s="1"/>
        <tr r="A23" s="1"/>
      </tp>
      <tp>
        <v>43</v>
        <stp/>
        <stp>OPBOARD</stp>
        <stp>N225op</stp>
        <stp>0</stp>
        <stp>C</stp>
        <stp>24000</stp>
        <stp>買気配数量14</stp>
        <tr r="B113" s="1"/>
        <tr r="A113" s="1"/>
      </tp>
      <tp>
        <v>57</v>
        <stp/>
        <stp>OPBOARD</stp>
        <stp>N225op</stp>
        <stp>0</stp>
        <stp>C</stp>
        <stp>24000</stp>
        <stp>買気配数量15</stp>
        <tr r="A119" s="1"/>
        <tr r="B119" s="1"/>
      </tp>
      <tp>
        <v>48</v>
        <stp/>
        <stp>OPBOARD</stp>
        <stp>N225op</stp>
        <stp>0</stp>
        <stp>C</stp>
        <stp>24000</stp>
        <stp>買気配数量12</stp>
        <tr r="B101" s="1"/>
        <tr r="A101" s="1"/>
      </tp>
      <tp>
        <v>59</v>
        <stp/>
        <stp>OPBOARD</stp>
        <stp>N225op</stp>
        <stp>0</stp>
        <stp>C</stp>
        <stp>24000</stp>
        <stp>買気配数量13</stp>
        <tr r="A107" s="1"/>
        <tr r="B107" s="1"/>
      </tp>
      <tp>
        <v>148</v>
        <stp/>
        <stp>OPBOARD</stp>
        <stp>N225op</stp>
        <stp>0</stp>
        <stp>C</stp>
        <stp>24000</stp>
        <stp>買気配数量10</stp>
        <tr r="B89" s="1"/>
      </tp>
      <tp>
        <v>82</v>
        <stp/>
        <stp>OPBOARD</stp>
        <stp>N225op</stp>
        <stp>0</stp>
        <stp>C</stp>
        <stp>24000</stp>
        <stp>買気配数量11</stp>
        <tr r="B95" s="1"/>
        <tr r="A89" s="1"/>
        <tr r="A95" s="1"/>
      </tp>
      <tp t="s">
        <v/>
        <stp/>
        <stp>OPBOARD</stp>
        <stp>N225op</stp>
        <stp>0</stp>
        <stp>P</stp>
        <stp>23750</stp>
        <stp>買気配フラグ9</stp>
        <tr r="E85" s="1"/>
      </tp>
      <tp t="s">
        <v/>
        <stp/>
        <stp>OPBOARD</stp>
        <stp>N225op</stp>
        <stp>0</stp>
        <stp>P</stp>
        <stp>23750</stp>
        <stp>買気配フラグ8</stp>
        <tr r="E79" s="1"/>
      </tp>
      <tp t="s">
        <v/>
        <stp/>
        <stp>OPBOARD</stp>
        <stp>N225op</stp>
        <stp>0</stp>
        <stp>P</stp>
        <stp>23750</stp>
        <stp>買気配フラグ3</stp>
        <tr r="E49" s="1"/>
      </tp>
      <tp t="s">
        <v/>
        <stp/>
        <stp>OPBOARD</stp>
        <stp>N225op</stp>
        <stp>0</stp>
        <stp>P</stp>
        <stp>23750</stp>
        <stp>買気配フラグ2</stp>
        <tr r="E43" s="1"/>
      </tp>
      <tp t="s">
        <v/>
        <stp/>
        <stp>OPBOARD</stp>
        <stp>N225op</stp>
        <stp>0</stp>
        <stp>P</stp>
        <stp>23750</stp>
        <stp>買気配フラグ1</stp>
        <tr r="E37" s="1"/>
      </tp>
      <tp t="s">
        <v/>
        <stp/>
        <stp>OPBOARD</stp>
        <stp>N225op</stp>
        <stp>0</stp>
        <stp>P</stp>
        <stp>23750</stp>
        <stp>買気配フラグ0</stp>
        <tr r="E31" s="1"/>
      </tp>
      <tp t="s">
        <v/>
        <stp/>
        <stp>OPBOARD</stp>
        <stp>N225op</stp>
        <stp>0</stp>
        <stp>P</stp>
        <stp>23750</stp>
        <stp>買気配フラグ7</stp>
        <tr r="E73" s="1"/>
      </tp>
      <tp t="s">
        <v>Y</v>
        <stp/>
        <stp>OPBOARD</stp>
        <stp>N225op</stp>
        <stp>0</stp>
        <stp>P</stp>
        <stp>23750</stp>
        <stp>買気配フラグ6</stp>
        <tr r="E67" s="1"/>
      </tp>
      <tp t="s">
        <v/>
        <stp/>
        <stp>OPBOARD</stp>
        <stp>N225op</stp>
        <stp>0</stp>
        <stp>P</stp>
        <stp>23750</stp>
        <stp>買気配フラグ5</stp>
        <tr r="E61" s="1"/>
      </tp>
      <tp t="s">
        <v/>
        <stp/>
        <stp>OPBOARD</stp>
        <stp>N225op</stp>
        <stp>0</stp>
        <stp>P</stp>
        <stp>23750</stp>
        <stp>買気配フラグ4</stp>
        <tr r="E55" s="1"/>
      </tp>
      <tp t="s">
        <v/>
        <stp/>
        <stp>OPBOARD</stp>
        <stp>N225op</stp>
        <stp>0</stp>
        <stp>C</stp>
        <stp>23875</stp>
        <stp>買気配フラグ8</stp>
        <tr r="C79" s="1"/>
      </tp>
      <tp t="s">
        <v/>
        <stp/>
        <stp>OPBOARD</stp>
        <stp>N225op</stp>
        <stp>0</stp>
        <stp>C</stp>
        <stp>23875</stp>
        <stp>買気配フラグ9</stp>
        <tr r="C85" s="1"/>
      </tp>
      <tp t="s">
        <v/>
        <stp/>
        <stp>OPBOARD</stp>
        <stp>N225op</stp>
        <stp>0</stp>
        <stp>C</stp>
        <stp>23875</stp>
        <stp>買気配フラグ6</stp>
        <tr r="C67" s="1"/>
      </tp>
      <tp t="s">
        <v/>
        <stp/>
        <stp>OPBOARD</stp>
        <stp>N225op</stp>
        <stp>0</stp>
        <stp>C</stp>
        <stp>23875</stp>
        <stp>買気配フラグ7</stp>
        <tr r="C73" s="1"/>
      </tp>
      <tp t="s">
        <v/>
        <stp/>
        <stp>OPBOARD</stp>
        <stp>N225op</stp>
        <stp>0</stp>
        <stp>C</stp>
        <stp>23875</stp>
        <stp>買気配フラグ4</stp>
        <tr r="C55" s="1"/>
      </tp>
      <tp t="s">
        <v/>
        <stp/>
        <stp>OPBOARD</stp>
        <stp>N225op</stp>
        <stp>0</stp>
        <stp>C</stp>
        <stp>23875</stp>
        <stp>買気配フラグ5</stp>
        <tr r="C61" s="1"/>
      </tp>
      <tp t="s">
        <v/>
        <stp/>
        <stp>OPBOARD</stp>
        <stp>N225op</stp>
        <stp>0</stp>
        <stp>C</stp>
        <stp>23875</stp>
        <stp>買気配フラグ2</stp>
        <tr r="C43" s="1"/>
      </tp>
      <tp t="s">
        <v/>
        <stp/>
        <stp>OPBOARD</stp>
        <stp>N225op</stp>
        <stp>0</stp>
        <stp>C</stp>
        <stp>23875</stp>
        <stp>買気配フラグ3</stp>
        <tr r="C49" s="1"/>
      </tp>
      <tp t="s">
        <v/>
        <stp/>
        <stp>OPBOARD</stp>
        <stp>N225op</stp>
        <stp>0</stp>
        <stp>C</stp>
        <stp>23875</stp>
        <stp>買気配フラグ0</stp>
        <tr r="C31" s="1"/>
      </tp>
      <tp t="s">
        <v/>
        <stp/>
        <stp>OPBOARD</stp>
        <stp>N225op</stp>
        <stp>0</stp>
        <stp>C</stp>
        <stp>23875</stp>
        <stp>買気配フラグ1</stp>
        <tr r="C37" s="1"/>
      </tp>
      <tp>
        <v>0</v>
        <stp/>
        <stp>OPBOARD</stp>
        <stp>N225op</stp>
        <stp>0</stp>
        <stp>P</stp>
        <stp>23875</stp>
        <stp>買気配数量-3</stp>
        <tr r="D11" s="1"/>
      </tp>
      <tp>
        <v>0</v>
        <stp/>
        <stp>OPBOARD</stp>
        <stp>N225op</stp>
        <stp>0</stp>
        <stp>P</stp>
        <stp>23875</stp>
        <stp>買気配数量-2</stp>
        <tr r="D17" s="1"/>
      </tp>
      <tp>
        <v>0</v>
        <stp/>
        <stp>OPBOARD</stp>
        <stp>N225op</stp>
        <stp>0</stp>
        <stp>P</stp>
        <stp>23875</stp>
        <stp>買気配数量-1</stp>
        <tr r="D23" s="1"/>
      </tp>
      <tp>
        <v>0</v>
        <stp/>
        <stp>OPBOARD</stp>
        <stp>N225op</stp>
        <stp>0</stp>
        <stp>P</stp>
        <stp>23875</stp>
        <stp>買気配数量-4</stp>
        <tr r="D5" s="1"/>
      </tp>
      <tp>
        <v>0</v>
        <stp/>
        <stp>OPBOARD</stp>
        <stp>N225op</stp>
        <stp>0</stp>
        <stp>P</stp>
        <stp>23875</stp>
        <stp>買気配数量13</stp>
        <tr r="D107" s="1"/>
      </tp>
      <tp>
        <v>0</v>
        <stp/>
        <stp>OPBOARD</stp>
        <stp>N225op</stp>
        <stp>0</stp>
        <stp>P</stp>
        <stp>23875</stp>
        <stp>買気配数量12</stp>
        <tr r="D101" s="1"/>
      </tp>
      <tp>
        <v>0</v>
        <stp/>
        <stp>OPBOARD</stp>
        <stp>N225op</stp>
        <stp>0</stp>
        <stp>P</stp>
        <stp>23875</stp>
        <stp>買気配数量11</stp>
        <tr r="D95" s="1"/>
      </tp>
      <tp>
        <v>0</v>
        <stp/>
        <stp>OPBOARD</stp>
        <stp>N225op</stp>
        <stp>0</stp>
        <stp>P</stp>
        <stp>23875</stp>
        <stp>買気配数量10</stp>
        <tr r="D89" s="1"/>
      </tp>
      <tp>
        <v>0</v>
        <stp/>
        <stp>OPBOARD</stp>
        <stp>N225op</stp>
        <stp>0</stp>
        <stp>P</stp>
        <stp>23875</stp>
        <stp>買気配数量15</stp>
        <tr r="D119" s="1"/>
      </tp>
      <tp>
        <v>0</v>
        <stp/>
        <stp>OPBOARD</stp>
        <stp>N225op</stp>
        <stp>0</stp>
        <stp>P</stp>
        <stp>23875</stp>
        <stp>買気配数量14</stp>
        <tr r="D113" s="1"/>
      </tp>
      <tp>
        <v>0</v>
        <stp/>
        <stp>OPBOARD</stp>
        <stp>N225op</stp>
        <stp>0</stp>
        <stp>P</stp>
        <stp>23750</stp>
        <stp>買気配数量-4</stp>
        <tr r="E5" s="1"/>
      </tp>
      <tp>
        <v>0</v>
        <stp/>
        <stp>OPBOARD</stp>
        <stp>N225op</stp>
        <stp>0</stp>
        <stp>P</stp>
        <stp>23750</stp>
        <stp>買気配数量-2</stp>
        <tr r="E17" s="1"/>
      </tp>
      <tp>
        <v>0</v>
        <stp/>
        <stp>OPBOARD</stp>
        <stp>N225op</stp>
        <stp>0</stp>
        <stp>P</stp>
        <stp>23750</stp>
        <stp>買気配数量-3</stp>
        <tr r="E11" s="1"/>
      </tp>
      <tp>
        <v>0</v>
        <stp/>
        <stp>OPBOARD</stp>
        <stp>N225op</stp>
        <stp>0</stp>
        <stp>P</stp>
        <stp>23750</stp>
        <stp>買気配数量-1</stp>
        <tr r="E23" s="1"/>
      </tp>
      <tp>
        <v>0</v>
        <stp/>
        <stp>OPBOARD</stp>
        <stp>N225op</stp>
        <stp>0</stp>
        <stp>P</stp>
        <stp>23750</stp>
        <stp>買気配数量14</stp>
        <tr r="E113" s="1"/>
      </tp>
      <tp>
        <v>0</v>
        <stp/>
        <stp>OPBOARD</stp>
        <stp>N225op</stp>
        <stp>0</stp>
        <stp>P</stp>
        <stp>23750</stp>
        <stp>買気配数量15</stp>
        <tr r="E119" s="1"/>
      </tp>
      <tp>
        <v>0</v>
        <stp/>
        <stp>OPBOARD</stp>
        <stp>N225op</stp>
        <stp>0</stp>
        <stp>P</stp>
        <stp>23750</stp>
        <stp>買気配数量12</stp>
        <tr r="E101" s="1"/>
      </tp>
      <tp>
        <v>0</v>
        <stp/>
        <stp>OPBOARD</stp>
        <stp>N225op</stp>
        <stp>0</stp>
        <stp>P</stp>
        <stp>23750</stp>
        <stp>買気配数量13</stp>
        <tr r="E107" s="1"/>
      </tp>
      <tp>
        <v>0</v>
        <stp/>
        <stp>OPBOARD</stp>
        <stp>N225op</stp>
        <stp>0</stp>
        <stp>P</stp>
        <stp>23750</stp>
        <stp>買気配数量10</stp>
        <tr r="E89" s="1"/>
      </tp>
      <tp>
        <v>0</v>
        <stp/>
        <stp>OPBOARD</stp>
        <stp>N225op</stp>
        <stp>0</stp>
        <stp>P</stp>
        <stp>23750</stp>
        <stp>買気配数量11</stp>
        <tr r="E95" s="1"/>
      </tp>
      <tp>
        <v>0</v>
        <stp/>
        <stp>OPBOARD</stp>
        <stp>N225op</stp>
        <stp>0</stp>
        <stp>C</stp>
        <stp>24000</stp>
        <stp>買気配数量1</stp>
        <tr r="B35" s="1"/>
        <tr r="A29" s="1"/>
        <tr r="A35" s="1"/>
      </tp>
      <tp>
        <v>0</v>
        <stp/>
        <stp>OPBOARD</stp>
        <stp>N225op</stp>
        <stp>0</stp>
        <stp>C</stp>
        <stp>24000</stp>
        <stp>買気配数量0</stp>
        <tr r="B29" s="1"/>
      </tp>
      <tp>
        <v>0</v>
        <stp/>
        <stp>OPBOARD</stp>
        <stp>N225op</stp>
        <stp>0</stp>
        <stp>C</stp>
        <stp>24000</stp>
        <stp>買気配数量3</stp>
        <tr r="A47" s="1"/>
        <tr r="B47" s="1"/>
      </tp>
      <tp>
        <v>0</v>
        <stp/>
        <stp>OPBOARD</stp>
        <stp>N225op</stp>
        <stp>0</stp>
        <stp>C</stp>
        <stp>24000</stp>
        <stp>買気配数量2</stp>
        <tr r="B41" s="1"/>
        <tr r="A41" s="1"/>
      </tp>
      <tp>
        <v>0</v>
        <stp/>
        <stp>OPBOARD</stp>
        <stp>N225op</stp>
        <stp>0</stp>
        <stp>C</stp>
        <stp>24000</stp>
        <stp>買気配数量5</stp>
        <tr r="B59" s="1"/>
        <tr r="A59" s="1"/>
      </tp>
      <tp>
        <v>0</v>
        <stp/>
        <stp>OPBOARD</stp>
        <stp>N225op</stp>
        <stp>0</stp>
        <stp>C</stp>
        <stp>24000</stp>
        <stp>買気配数量4</stp>
        <tr r="A53" s="1"/>
        <tr r="B53" s="1"/>
      </tp>
      <tp>
        <v>109</v>
        <stp/>
        <stp>OPBOARD</stp>
        <stp>N225op</stp>
        <stp>0</stp>
        <stp>C</stp>
        <stp>24000</stp>
        <stp>買気配数量7</stp>
        <tr r="A71" s="1"/>
        <tr r="B71" s="1"/>
      </tp>
      <tp>
        <v>30</v>
        <stp/>
        <stp>OPBOARD</stp>
        <stp>N225op</stp>
        <stp>0</stp>
        <stp>C</stp>
        <stp>24000</stp>
        <stp>買気配数量6</stp>
        <tr r="B65" s="1"/>
        <tr r="A65" s="1"/>
      </tp>
      <tp>
        <v>129</v>
        <stp/>
        <stp>OPBOARD</stp>
        <stp>N225op</stp>
        <stp>0</stp>
        <stp>C</stp>
        <stp>24000</stp>
        <stp>買気配数量9</stp>
        <tr r="A83" s="1"/>
        <tr r="B83" s="1"/>
      </tp>
      <tp>
        <v>145</v>
        <stp/>
        <stp>OPBOARD</stp>
        <stp>N225op</stp>
        <stp>0</stp>
        <stp>C</stp>
        <stp>24000</stp>
        <stp>買気配数量8</stp>
        <tr r="B77" s="1"/>
        <tr r="A77" s="1"/>
      </tp>
      <tp t="s">
        <v/>
        <stp/>
        <stp>OPBOARD</stp>
        <stp>N225op</stp>
        <stp>0</stp>
        <stp>C</stp>
        <stp>24000</stp>
        <stp>買気配フラグ9</stp>
        <tr r="A85" s="1"/>
        <tr r="B85" s="1"/>
      </tp>
      <tp t="s">
        <v/>
        <stp/>
        <stp>OPBOARD</stp>
        <stp>N225op</stp>
        <stp>0</stp>
        <stp>C</stp>
        <stp>24000</stp>
        <stp>買気配フラグ8</stp>
        <tr r="A79" s="1"/>
        <tr r="B79" s="1"/>
      </tp>
      <tp t="s">
        <v/>
        <stp/>
        <stp>OPBOARD</stp>
        <stp>N225op</stp>
        <stp>0</stp>
        <stp>C</stp>
        <stp>24000</stp>
        <stp>買気配フラグ3</stp>
        <tr r="B49" s="1"/>
        <tr r="A49" s="1"/>
      </tp>
      <tp t="s">
        <v/>
        <stp/>
        <stp>OPBOARD</stp>
        <stp>N225op</stp>
        <stp>0</stp>
        <stp>C</stp>
        <stp>24000</stp>
        <stp>買気配フラグ2</stp>
        <tr r="B43" s="1"/>
        <tr r="A43" s="1"/>
      </tp>
      <tp t="s">
        <v/>
        <stp/>
        <stp>OPBOARD</stp>
        <stp>N225op</stp>
        <stp>0</stp>
        <stp>C</stp>
        <stp>24000</stp>
        <stp>買気配フラグ1</stp>
        <tr r="B37" s="1"/>
        <tr r="A31" s="1"/>
        <tr r="A37" s="1"/>
      </tp>
      <tp t="s">
        <v/>
        <stp/>
        <stp>OPBOARD</stp>
        <stp>N225op</stp>
        <stp>0</stp>
        <stp>C</stp>
        <stp>24000</stp>
        <stp>買気配フラグ0</stp>
        <tr r="B31" s="1"/>
      </tp>
      <tp t="s">
        <v/>
        <stp/>
        <stp>OPBOARD</stp>
        <stp>N225op</stp>
        <stp>0</stp>
        <stp>C</stp>
        <stp>24000</stp>
        <stp>買気配フラグ7</stp>
        <tr r="A73" s="1"/>
        <tr r="B73" s="1"/>
      </tp>
      <tp t="s">
        <v/>
        <stp/>
        <stp>OPBOARD</stp>
        <stp>N225op</stp>
        <stp>0</stp>
        <stp>C</stp>
        <stp>24000</stp>
        <stp>買気配フラグ6</stp>
        <tr r="B67" s="1"/>
        <tr r="A67" s="1"/>
      </tp>
      <tp t="s">
        <v/>
        <stp/>
        <stp>OPBOARD</stp>
        <stp>N225op</stp>
        <stp>0</stp>
        <stp>C</stp>
        <stp>24000</stp>
        <stp>買気配フラグ5</stp>
        <tr r="B61" s="1"/>
        <tr r="A61" s="1"/>
      </tp>
      <tp t="s">
        <v/>
        <stp/>
        <stp>OPBOARD</stp>
        <stp>N225op</stp>
        <stp>0</stp>
        <stp>C</stp>
        <stp>24000</stp>
        <stp>買気配フラグ4</stp>
        <tr r="A55" s="1"/>
        <tr r="B55" s="1"/>
      </tp>
      <tp t="s">
        <v/>
        <stp/>
        <stp>OPBOARD</stp>
        <stp>N225op</stp>
        <stp>0</stp>
        <stp>C</stp>
        <stp>23750</stp>
        <stp>買気配フラグ9</stp>
        <tr r="F85" s="1"/>
      </tp>
      <tp t="s">
        <v/>
        <stp/>
        <stp>OPBOARD</stp>
        <stp>N225op</stp>
        <stp>0</stp>
        <stp>C</stp>
        <stp>23750</stp>
        <stp>買気配フラグ8</stp>
        <tr r="F79" s="1"/>
      </tp>
      <tp t="s">
        <v/>
        <stp/>
        <stp>OPBOARD</stp>
        <stp>N225op</stp>
        <stp>0</stp>
        <stp>C</stp>
        <stp>23750</stp>
        <stp>買気配フラグ3</stp>
        <tr r="F49" s="1"/>
      </tp>
      <tp t="s">
        <v/>
        <stp/>
        <stp>OPBOARD</stp>
        <stp>N225op</stp>
        <stp>0</stp>
        <stp>C</stp>
        <stp>23750</stp>
        <stp>買気配フラグ2</stp>
        <tr r="F43" s="1"/>
      </tp>
      <tp t="s">
        <v/>
        <stp/>
        <stp>OPBOARD</stp>
        <stp>N225op</stp>
        <stp>0</stp>
        <stp>C</stp>
        <stp>23750</stp>
        <stp>買気配フラグ1</stp>
        <tr r="F37" s="1"/>
      </tp>
      <tp t="s">
        <v/>
        <stp/>
        <stp>OPBOARD</stp>
        <stp>N225op</stp>
        <stp>0</stp>
        <stp>C</stp>
        <stp>23750</stp>
        <stp>買気配フラグ0</stp>
        <tr r="F31" s="1"/>
      </tp>
      <tp t="s">
        <v/>
        <stp/>
        <stp>OPBOARD</stp>
        <stp>N225op</stp>
        <stp>0</stp>
        <stp>C</stp>
        <stp>23750</stp>
        <stp>買気配フラグ7</stp>
        <tr r="F73" s="1"/>
      </tp>
      <tp t="s">
        <v/>
        <stp/>
        <stp>OPBOARD</stp>
        <stp>N225op</stp>
        <stp>0</stp>
        <stp>C</stp>
        <stp>23750</stp>
        <stp>買気配フラグ6</stp>
        <tr r="F67" s="1"/>
      </tp>
      <tp t="s">
        <v/>
        <stp/>
        <stp>OPBOARD</stp>
        <stp>N225op</stp>
        <stp>0</stp>
        <stp>C</stp>
        <stp>23750</stp>
        <stp>買気配フラグ5</stp>
        <tr r="F61" s="1"/>
      </tp>
      <tp t="s">
        <v/>
        <stp/>
        <stp>OPBOARD</stp>
        <stp>N225op</stp>
        <stp>0</stp>
        <stp>C</stp>
        <stp>23750</stp>
        <stp>買気配フラグ4</stp>
        <tr r="F55" s="1"/>
      </tp>
      <tp>
        <v>31</v>
        <stp/>
        <stp>OPBOARD</stp>
        <stp>N225op</stp>
        <stp>0</stp>
        <stp>C</stp>
        <stp>23875</stp>
        <stp>買気配数量6</stp>
        <tr r="C65" s="1"/>
      </tp>
      <tp>
        <v>102</v>
        <stp/>
        <stp>OPBOARD</stp>
        <stp>N225op</stp>
        <stp>0</stp>
        <stp>C</stp>
        <stp>23875</stp>
        <stp>買気配数量7</stp>
        <tr r="C71" s="1"/>
      </tp>
      <tp>
        <v>0</v>
        <stp/>
        <stp>OPBOARD</stp>
        <stp>N225op</stp>
        <stp>0</stp>
        <stp>C</stp>
        <stp>23875</stp>
        <stp>買気配数量4</stp>
        <tr r="C53" s="1"/>
      </tp>
      <tp>
        <v>0</v>
        <stp/>
        <stp>OPBOARD</stp>
        <stp>N225op</stp>
        <stp>0</stp>
        <stp>C</stp>
        <stp>23875</stp>
        <stp>買気配数量5</stp>
        <tr r="C59" s="1"/>
      </tp>
      <tp>
        <v>0</v>
        <stp/>
        <stp>OPBOARD</stp>
        <stp>N225op</stp>
        <stp>0</stp>
        <stp>C</stp>
        <stp>23875</stp>
        <stp>買気配数量2</stp>
        <tr r="C41" s="1"/>
      </tp>
      <tp>
        <v>0</v>
        <stp/>
        <stp>OPBOARD</stp>
        <stp>N225op</stp>
        <stp>0</stp>
        <stp>C</stp>
        <stp>23875</stp>
        <stp>買気配数量3</stp>
        <tr r="C47" s="1"/>
      </tp>
      <tp>
        <v>0</v>
        <stp/>
        <stp>OPBOARD</stp>
        <stp>N225op</stp>
        <stp>0</stp>
        <stp>C</stp>
        <stp>23875</stp>
        <stp>買気配数量0</stp>
        <tr r="C29" s="1"/>
      </tp>
      <tp>
        <v>0</v>
        <stp/>
        <stp>OPBOARD</stp>
        <stp>N225op</stp>
        <stp>0</stp>
        <stp>C</stp>
        <stp>23875</stp>
        <stp>買気配数量1</stp>
        <tr r="C35" s="1"/>
      </tp>
      <tp>
        <v>134</v>
        <stp/>
        <stp>OPBOARD</stp>
        <stp>N225op</stp>
        <stp>0</stp>
        <stp>C</stp>
        <stp>23875</stp>
        <stp>買気配数量8</stp>
        <tr r="C77" s="1"/>
      </tp>
      <tp>
        <v>107</v>
        <stp/>
        <stp>OPBOARD</stp>
        <stp>N225op</stp>
        <stp>0</stp>
        <stp>C</stp>
        <stp>23875</stp>
        <stp>買気配数量9</stp>
        <tr r="C83" s="1"/>
      </tp>
      <tp>
        <v>0</v>
        <stp/>
        <stp>OPBOARD</stp>
        <stp>N225op</stp>
        <stp>0</stp>
        <stp>C</stp>
        <stp>23750</stp>
        <stp>買気配数量4</stp>
        <tr r="F53" s="1"/>
      </tp>
      <tp>
        <v>0</v>
        <stp/>
        <stp>OPBOARD</stp>
        <stp>N225op</stp>
        <stp>0</stp>
        <stp>C</stp>
        <stp>23750</stp>
        <stp>買気配数量5</stp>
        <tr r="F59" s="1"/>
      </tp>
      <tp>
        <v>72</v>
        <stp/>
        <stp>OPBOARD</stp>
        <stp>N225op</stp>
        <stp>0</stp>
        <stp>C</stp>
        <stp>23750</stp>
        <stp>買気配数量6</stp>
        <tr r="F65" s="1"/>
      </tp>
      <tp>
        <v>100</v>
        <stp/>
        <stp>OPBOARD</stp>
        <stp>N225op</stp>
        <stp>0</stp>
        <stp>C</stp>
        <stp>23750</stp>
        <stp>買気配数量7</stp>
        <tr r="F71" s="1"/>
      </tp>
      <tp>
        <v>0</v>
        <stp/>
        <stp>OPBOARD</stp>
        <stp>N225op</stp>
        <stp>0</stp>
        <stp>C</stp>
        <stp>23750</stp>
        <stp>買気配数量0</stp>
        <tr r="F29" s="1"/>
      </tp>
      <tp>
        <v>0</v>
        <stp/>
        <stp>OPBOARD</stp>
        <stp>N225op</stp>
        <stp>0</stp>
        <stp>C</stp>
        <stp>23750</stp>
        <stp>買気配数量1</stp>
        <tr r="F35" s="1"/>
      </tp>
      <tp>
        <v>0</v>
        <stp/>
        <stp>OPBOARD</stp>
        <stp>N225op</stp>
        <stp>0</stp>
        <stp>C</stp>
        <stp>23750</stp>
        <stp>買気配数量2</stp>
        <tr r="F41" s="1"/>
      </tp>
      <tp>
        <v>0</v>
        <stp/>
        <stp>OPBOARD</stp>
        <stp>N225op</stp>
        <stp>0</stp>
        <stp>C</stp>
        <stp>23750</stp>
        <stp>買気配数量3</stp>
        <tr r="F47" s="1"/>
      </tp>
      <tp>
        <v>134</v>
        <stp/>
        <stp>OPBOARD</stp>
        <stp>N225op</stp>
        <stp>0</stp>
        <stp>C</stp>
        <stp>23750</stp>
        <stp>買気配数量8</stp>
        <tr r="F77" s="1"/>
      </tp>
      <tp>
        <v>105</v>
        <stp/>
        <stp>OPBOARD</stp>
        <stp>N225op</stp>
        <stp>0</stp>
        <stp>C</stp>
        <stp>23750</stp>
        <stp>買気配数量9</stp>
        <tr r="F83" s="1"/>
      </tp>
      <tp>
        <v>20</v>
        <stp/>
        <stp>OPBOARD</stp>
        <stp>N225op</stp>
        <stp>0</stp>
        <stp>P</stp>
        <stp>23875</stp>
        <stp>買気配数量6</stp>
        <tr r="D65" s="1"/>
      </tp>
      <tp>
        <v>0</v>
        <stp/>
        <stp>OPBOARD</stp>
        <stp>N225op</stp>
        <stp>0</stp>
        <stp>P</stp>
        <stp>23875</stp>
        <stp>買気配数量7</stp>
        <tr r="D71" s="1"/>
      </tp>
      <tp>
        <v>0</v>
        <stp/>
        <stp>OPBOARD</stp>
        <stp>N225op</stp>
        <stp>0</stp>
        <stp>P</stp>
        <stp>23875</stp>
        <stp>買気配数量4</stp>
        <tr r="D53" s="1"/>
      </tp>
      <tp>
        <v>0</v>
        <stp/>
        <stp>OPBOARD</stp>
        <stp>N225op</stp>
        <stp>0</stp>
        <stp>P</stp>
        <stp>23875</stp>
        <stp>買気配数量5</stp>
        <tr r="D59" s="1"/>
      </tp>
      <tp>
        <v>0</v>
        <stp/>
        <stp>OPBOARD</stp>
        <stp>N225op</stp>
        <stp>0</stp>
        <stp>P</stp>
        <stp>23875</stp>
        <stp>買気配数量2</stp>
        <tr r="D41" s="1"/>
      </tp>
      <tp>
        <v>0</v>
        <stp/>
        <stp>OPBOARD</stp>
        <stp>N225op</stp>
        <stp>0</stp>
        <stp>P</stp>
        <stp>23875</stp>
        <stp>買気配数量3</stp>
        <tr r="D47" s="1"/>
      </tp>
      <tp>
        <v>0</v>
        <stp/>
        <stp>OPBOARD</stp>
        <stp>N225op</stp>
        <stp>0</stp>
        <stp>P</stp>
        <stp>23875</stp>
        <stp>買気配数量0</stp>
        <tr r="D29" s="1"/>
      </tp>
      <tp>
        <v>0</v>
        <stp/>
        <stp>OPBOARD</stp>
        <stp>N225op</stp>
        <stp>0</stp>
        <stp>P</stp>
        <stp>23875</stp>
        <stp>買気配数量1</stp>
        <tr r="D35" s="1"/>
      </tp>
      <tp>
        <v>0</v>
        <stp/>
        <stp>OPBOARD</stp>
        <stp>N225op</stp>
        <stp>0</stp>
        <stp>P</stp>
        <stp>23875</stp>
        <stp>買気配数量8</stp>
        <tr r="D77" s="1"/>
      </tp>
      <tp>
        <v>0</v>
        <stp/>
        <stp>OPBOARD</stp>
        <stp>N225op</stp>
        <stp>0</stp>
        <stp>P</stp>
        <stp>23875</stp>
        <stp>買気配数量9</stp>
        <tr r="D83" s="1"/>
      </tp>
      <tp>
        <v>0</v>
        <stp/>
        <stp>OPBOARD</stp>
        <stp>N225op</stp>
        <stp>0</stp>
        <stp>P</stp>
        <stp>23750</stp>
        <stp>買気配数量4</stp>
        <tr r="E53" s="1"/>
      </tp>
      <tp>
        <v>0</v>
        <stp/>
        <stp>OPBOARD</stp>
        <stp>N225op</stp>
        <stp>0</stp>
        <stp>P</stp>
        <stp>23750</stp>
        <stp>買気配数量5</stp>
        <tr r="E59" s="1"/>
      </tp>
      <tp>
        <v>1</v>
        <stp/>
        <stp>OPBOARD</stp>
        <stp>N225op</stp>
        <stp>0</stp>
        <stp>P</stp>
        <stp>23750</stp>
        <stp>買気配数量6</stp>
        <tr r="E65" s="1"/>
      </tp>
      <tp>
        <v>20</v>
        <stp/>
        <stp>OPBOARD</stp>
        <stp>N225op</stp>
        <stp>0</stp>
        <stp>P</stp>
        <stp>23750</stp>
        <stp>買気配数量7</stp>
        <tr r="E71" s="1"/>
      </tp>
      <tp>
        <v>0</v>
        <stp/>
        <stp>OPBOARD</stp>
        <stp>N225op</stp>
        <stp>0</stp>
        <stp>P</stp>
        <stp>23750</stp>
        <stp>買気配数量0</stp>
        <tr r="E29" s="1"/>
      </tp>
      <tp>
        <v>0</v>
        <stp/>
        <stp>OPBOARD</stp>
        <stp>N225op</stp>
        <stp>0</stp>
        <stp>P</stp>
        <stp>23750</stp>
        <stp>買気配数量1</stp>
        <tr r="E35" s="1"/>
      </tp>
      <tp>
        <v>0</v>
        <stp/>
        <stp>OPBOARD</stp>
        <stp>N225op</stp>
        <stp>0</stp>
        <stp>P</stp>
        <stp>23750</stp>
        <stp>買気配数量2</stp>
        <tr r="E41" s="1"/>
      </tp>
      <tp>
        <v>0</v>
        <stp/>
        <stp>OPBOARD</stp>
        <stp>N225op</stp>
        <stp>0</stp>
        <stp>P</stp>
        <stp>23750</stp>
        <stp>買気配数量3</stp>
        <tr r="E47" s="1"/>
      </tp>
      <tp>
        <v>0</v>
        <stp/>
        <stp>OPBOARD</stp>
        <stp>N225op</stp>
        <stp>0</stp>
        <stp>P</stp>
        <stp>23750</stp>
        <stp>買気配数量8</stp>
        <tr r="E77" s="1"/>
      </tp>
      <tp>
        <v>0</v>
        <stp/>
        <stp>OPBOARD</stp>
        <stp>N225op</stp>
        <stp>0</stp>
        <stp>P</stp>
        <stp>23750</stp>
        <stp>買気配数量9</stp>
        <tr r="E83" s="1"/>
      </tp>
      <tp t="s">
        <v/>
        <stp/>
        <stp>OPBOARD</stp>
        <stp>N225op</stp>
        <stp>0</stp>
        <stp>C</stp>
        <stp>24000</stp>
        <stp>買気配フラグ10</stp>
        <tr r="B91" s="1"/>
      </tp>
      <tp t="s">
        <v/>
        <stp/>
        <stp>OPBOARD</stp>
        <stp>N225op</stp>
        <stp>0</stp>
        <stp>C</stp>
        <stp>24000</stp>
        <stp>買気配フラグ11</stp>
        <tr r="B97" s="1"/>
        <tr r="A97" s="1"/>
        <tr r="A91" s="1"/>
      </tp>
      <tp t="s">
        <v/>
        <stp/>
        <stp>OPBOARD</stp>
        <stp>N225op</stp>
        <stp>0</stp>
        <stp>C</stp>
        <stp>24000</stp>
        <stp>買気配フラグ12</stp>
        <tr r="A103" s="1"/>
        <tr r="B103" s="1"/>
      </tp>
      <tp t="s">
        <v/>
        <stp/>
        <stp>OPBOARD</stp>
        <stp>N225op</stp>
        <stp>0</stp>
        <stp>C</stp>
        <stp>24000</stp>
        <stp>買気配フラグ13</stp>
        <tr r="B109" s="1"/>
        <tr r="A109" s="1"/>
      </tp>
      <tp t="s">
        <v/>
        <stp/>
        <stp>OPBOARD</stp>
        <stp>N225op</stp>
        <stp>0</stp>
        <stp>C</stp>
        <stp>24000</stp>
        <stp>買気配フラグ14</stp>
        <tr r="A115" s="1"/>
        <tr r="B115" s="1"/>
      </tp>
      <tp t="s">
        <v/>
        <stp/>
        <stp>OPBOARD</stp>
        <stp>N225op</stp>
        <stp>0</stp>
        <stp>C</stp>
        <stp>24000</stp>
        <stp>買気配フラグ15</stp>
        <tr r="A121" s="1"/>
        <tr r="B121" s="1"/>
      </tp>
      <tp t="s">
        <v/>
        <stp/>
        <stp>OPBOARD</stp>
        <stp>N225op</stp>
        <stp>0</stp>
        <stp>C</stp>
        <stp>24000</stp>
        <stp>売気配フラグ14</stp>
        <tr r="A114" s="1"/>
        <tr r="B114" s="1"/>
      </tp>
      <tp t="s">
        <v/>
        <stp/>
        <stp>OPBOARD</stp>
        <stp>N225op</stp>
        <stp>0</stp>
        <stp>C</stp>
        <stp>24000</stp>
        <stp>売気配フラグ15</stp>
        <tr r="B120" s="1"/>
        <tr r="A120" s="1"/>
      </tp>
      <tp t="s">
        <v/>
        <stp/>
        <stp>OPBOARD</stp>
        <stp>N225op</stp>
        <stp>0</stp>
        <stp>C</stp>
        <stp>24000</stp>
        <stp>売気配フラグ10</stp>
        <tr r="B90" s="1"/>
      </tp>
      <tp t="s">
        <v/>
        <stp/>
        <stp>OPBOARD</stp>
        <stp>N225op</stp>
        <stp>0</stp>
        <stp>C</stp>
        <stp>24000</stp>
        <stp>売気配フラグ11</stp>
        <tr r="A96" s="1"/>
        <tr r="B96" s="1"/>
        <tr r="A90" s="1"/>
      </tp>
      <tp t="s">
        <v/>
        <stp/>
        <stp>OPBOARD</stp>
        <stp>N225op</stp>
        <stp>0</stp>
        <stp>C</stp>
        <stp>24000</stp>
        <stp>売気配フラグ12</stp>
        <tr r="A102" s="1"/>
        <tr r="B102" s="1"/>
      </tp>
      <tp t="s">
        <v/>
        <stp/>
        <stp>OPBOARD</stp>
        <stp>N225op</stp>
        <stp>0</stp>
        <stp>C</stp>
        <stp>24000</stp>
        <stp>売気配フラグ13</stp>
        <tr r="A108" s="1"/>
        <tr r="B108" s="1"/>
      </tp>
      <tp t="s">
        <v/>
        <stp/>
        <stp>OPBOARD</stp>
        <stp>N225op</stp>
        <stp>0</stp>
        <stp>C</stp>
        <stp>24000</stp>
        <stp>買気配フラグ-1</stp>
        <tr r="B25" s="1"/>
        <tr r="A25" s="1"/>
      </tp>
      <tp t="s">
        <v/>
        <stp/>
        <stp>OPBOARD</stp>
        <stp>N225op</stp>
        <stp>0</stp>
        <stp>C</stp>
        <stp>24000</stp>
        <stp>買気配フラグ-2</stp>
        <tr r="B19" s="1"/>
        <tr r="A19" s="1"/>
      </tp>
      <tp t="s">
        <v/>
        <stp/>
        <stp>OPBOARD</stp>
        <stp>N225op</stp>
        <stp>0</stp>
        <stp>C</stp>
        <stp>24000</stp>
        <stp>買気配フラグ-3</stp>
        <tr r="B13" s="1"/>
        <tr r="A13" s="1"/>
      </tp>
      <tp t="s">
        <v/>
        <stp/>
        <stp>OPBOARD</stp>
        <stp>N225op</stp>
        <stp>0</stp>
        <stp>C</stp>
        <stp>24000</stp>
        <stp>買気配フラグ-4</stp>
        <tr r="B7" s="1"/>
        <tr r="A7" s="1"/>
      </tp>
      <tp t="s">
        <v/>
        <stp/>
        <stp>OPBOARD</stp>
        <stp>N225op</stp>
        <stp>0</stp>
        <stp>C</stp>
        <stp>24000</stp>
        <stp>売気配フラグ-4</stp>
        <tr r="A6" s="1"/>
        <tr r="B6" s="1"/>
      </tp>
      <tp t="s">
        <v/>
        <stp/>
        <stp>OPBOARD</stp>
        <stp>N225op</stp>
        <stp>0</stp>
        <stp>C</stp>
        <stp>24000</stp>
        <stp>売気配フラグ-1</stp>
        <tr r="A24" s="1"/>
        <tr r="B24" s="1"/>
      </tp>
      <tp t="s">
        <v/>
        <stp/>
        <stp>OPBOARD</stp>
        <stp>N225op</stp>
        <stp>0</stp>
        <stp>C</stp>
        <stp>24000</stp>
        <stp>売気配フラグ-2</stp>
        <tr r="B18" s="1"/>
        <tr r="A18" s="1"/>
      </tp>
      <tp t="s">
        <v/>
        <stp/>
        <stp>OPBOARD</stp>
        <stp>N225op</stp>
        <stp>0</stp>
        <stp>C</stp>
        <stp>24000</stp>
        <stp>売気配フラグ-3</stp>
        <tr r="B12" s="1"/>
        <tr r="A12" s="1"/>
      </tp>
      <tp t="s">
        <v/>
        <stp/>
        <stp>OPBOARD</stp>
        <stp>N225op</stp>
        <stp>0</stp>
        <stp>P</stp>
        <stp>23750</stp>
        <stp>買気配フラグ15</stp>
        <tr r="E121" s="1"/>
      </tp>
      <tp t="s">
        <v/>
        <stp/>
        <stp>OPBOARD</stp>
        <stp>N225op</stp>
        <stp>0</stp>
        <stp>C</stp>
        <stp>23750</stp>
        <stp>買気配フラグ15</stp>
        <tr r="F121" s="1"/>
      </tp>
      <tp t="s">
        <v/>
        <stp/>
        <stp>OPBOARD</stp>
        <stp>N225op</stp>
        <stp>0</stp>
        <stp>P</stp>
        <stp>23750</stp>
        <stp>買気配フラグ14</stp>
        <tr r="E115" s="1"/>
      </tp>
      <tp t="s">
        <v/>
        <stp/>
        <stp>OPBOARD</stp>
        <stp>N225op</stp>
        <stp>0</stp>
        <stp>C</stp>
        <stp>23750</stp>
        <stp>買気配フラグ14</stp>
        <tr r="F115" s="1"/>
      </tp>
      <tp t="s">
        <v/>
        <stp/>
        <stp>OPBOARD</stp>
        <stp>N225op</stp>
        <stp>0</stp>
        <stp>P</stp>
        <stp>23750</stp>
        <stp>買気配フラグ13</stp>
        <tr r="E109" s="1"/>
      </tp>
      <tp t="s">
        <v/>
        <stp/>
        <stp>OPBOARD</stp>
        <stp>N225op</stp>
        <stp>0</stp>
        <stp>C</stp>
        <stp>23750</stp>
        <stp>買気配フラグ13</stp>
        <tr r="F109" s="1"/>
      </tp>
      <tp t="s">
        <v/>
        <stp/>
        <stp>OPBOARD</stp>
        <stp>N225op</stp>
        <stp>0</stp>
        <stp>P</stp>
        <stp>23750</stp>
        <stp>買気配フラグ12</stp>
        <tr r="E103" s="1"/>
      </tp>
      <tp t="s">
        <v/>
        <stp/>
        <stp>OPBOARD</stp>
        <stp>N225op</stp>
        <stp>0</stp>
        <stp>C</stp>
        <stp>23750</stp>
        <stp>買気配フラグ12</stp>
        <tr r="F103" s="1"/>
      </tp>
      <tp t="s">
        <v/>
        <stp/>
        <stp>OPBOARD</stp>
        <stp>N225op</stp>
        <stp>0</stp>
        <stp>P</stp>
        <stp>23750</stp>
        <stp>買気配フラグ11</stp>
        <tr r="E97" s="1"/>
      </tp>
      <tp t="s">
        <v/>
        <stp/>
        <stp>OPBOARD</stp>
        <stp>N225op</stp>
        <stp>0</stp>
        <stp>C</stp>
        <stp>23750</stp>
        <stp>買気配フラグ11</stp>
        <tr r="F97" s="1"/>
      </tp>
      <tp t="s">
        <v/>
        <stp/>
        <stp>OPBOARD</stp>
        <stp>N225op</stp>
        <stp>0</stp>
        <stp>P</stp>
        <stp>23750</stp>
        <stp>買気配フラグ10</stp>
        <tr r="E91" s="1"/>
      </tp>
      <tp t="s">
        <v/>
        <stp/>
        <stp>OPBOARD</stp>
        <stp>N225op</stp>
        <stp>0</stp>
        <stp>C</stp>
        <stp>23750</stp>
        <stp>買気配フラグ10</stp>
        <tr r="F91" s="1"/>
      </tp>
      <tp t="s">
        <v/>
        <stp/>
        <stp>OPBOARD</stp>
        <stp>N225op</stp>
        <stp>0</stp>
        <stp>P</stp>
        <stp>23750</stp>
        <stp>売気配フラグ13</stp>
        <tr r="E108" s="1"/>
      </tp>
      <tp t="s">
        <v/>
        <stp/>
        <stp>OPBOARD</stp>
        <stp>N225op</stp>
        <stp>0</stp>
        <stp>C</stp>
        <stp>23750</stp>
        <stp>売気配フラグ13</stp>
        <tr r="F108" s="1"/>
      </tp>
      <tp t="s">
        <v/>
        <stp/>
        <stp>OPBOARD</stp>
        <stp>N225op</stp>
        <stp>0</stp>
        <stp>P</stp>
        <stp>23750</stp>
        <stp>売気配フラグ12</stp>
        <tr r="E102" s="1"/>
      </tp>
      <tp t="s">
        <v/>
        <stp/>
        <stp>OPBOARD</stp>
        <stp>N225op</stp>
        <stp>0</stp>
        <stp>C</stp>
        <stp>23750</stp>
        <stp>売気配フラグ12</stp>
        <tr r="F102" s="1"/>
      </tp>
      <tp t="s">
        <v/>
        <stp/>
        <stp>OPBOARD</stp>
        <stp>N225op</stp>
        <stp>0</stp>
        <stp>P</stp>
        <stp>23750</stp>
        <stp>売気配フラグ11</stp>
        <tr r="E96" s="1"/>
      </tp>
      <tp t="s">
        <v/>
        <stp/>
        <stp>OPBOARD</stp>
        <stp>N225op</stp>
        <stp>0</stp>
        <stp>C</stp>
        <stp>23750</stp>
        <stp>売気配フラグ11</stp>
        <tr r="F96" s="1"/>
      </tp>
      <tp t="s">
        <v/>
        <stp/>
        <stp>OPBOARD</stp>
        <stp>N225op</stp>
        <stp>0</stp>
        <stp>P</stp>
        <stp>23750</stp>
        <stp>売気配フラグ10</stp>
        <tr r="E90" s="1"/>
      </tp>
      <tp t="s">
        <v/>
        <stp/>
        <stp>OPBOARD</stp>
        <stp>N225op</stp>
        <stp>0</stp>
        <stp>C</stp>
        <stp>23750</stp>
        <stp>売気配フラグ10</stp>
        <tr r="F90" s="1"/>
      </tp>
      <tp t="s">
        <v/>
        <stp/>
        <stp>OPBOARD</stp>
        <stp>N225op</stp>
        <stp>0</stp>
        <stp>P</stp>
        <stp>23750</stp>
        <stp>売気配フラグ15</stp>
        <tr r="E120" s="1"/>
      </tp>
      <tp t="s">
        <v/>
        <stp/>
        <stp>OPBOARD</stp>
        <stp>N225op</stp>
        <stp>0</stp>
        <stp>C</stp>
        <stp>23750</stp>
        <stp>売気配フラグ15</stp>
        <tr r="F120" s="1"/>
      </tp>
      <tp t="s">
        <v/>
        <stp/>
        <stp>OPBOARD</stp>
        <stp>N225op</stp>
        <stp>0</stp>
        <stp>P</stp>
        <stp>23750</stp>
        <stp>売気配フラグ14</stp>
        <tr r="E114" s="1"/>
      </tp>
      <tp t="s">
        <v/>
        <stp/>
        <stp>OPBOARD</stp>
        <stp>N225op</stp>
        <stp>0</stp>
        <stp>C</stp>
        <stp>23750</stp>
        <stp>売気配フラグ14</stp>
        <tr r="F114" s="1"/>
      </tp>
      <tp t="s">
        <v/>
        <stp/>
        <stp>OPBOARD</stp>
        <stp>N225op</stp>
        <stp>0</stp>
        <stp>P</stp>
        <stp>23750</stp>
        <stp>買気配フラグ-4</stp>
        <tr r="E7" s="1"/>
      </tp>
      <tp t="s">
        <v/>
        <stp/>
        <stp>OPBOARD</stp>
        <stp>N225op</stp>
        <stp>0</stp>
        <stp>C</stp>
        <stp>23750</stp>
        <stp>買気配フラグ-4</stp>
        <tr r="F7" s="1"/>
      </tp>
      <tp t="s">
        <v/>
        <stp/>
        <stp>OPBOARD</stp>
        <stp>N225op</stp>
        <stp>0</stp>
        <stp>P</stp>
        <stp>23750</stp>
        <stp>買気配フラグ-3</stp>
        <tr r="E13" s="1"/>
      </tp>
      <tp t="s">
        <v/>
        <stp/>
        <stp>OPBOARD</stp>
        <stp>N225op</stp>
        <stp>0</stp>
        <stp>C</stp>
        <stp>23750</stp>
        <stp>買気配フラグ-3</stp>
        <tr r="F13" s="1"/>
      </tp>
      <tp t="s">
        <v/>
        <stp/>
        <stp>OPBOARD</stp>
        <stp>N225op</stp>
        <stp>0</stp>
        <stp>P</stp>
        <stp>23750</stp>
        <stp>買気配フラグ-2</stp>
        <tr r="E19" s="1"/>
      </tp>
      <tp t="s">
        <v/>
        <stp/>
        <stp>OPBOARD</stp>
        <stp>N225op</stp>
        <stp>0</stp>
        <stp>C</stp>
        <stp>23750</stp>
        <stp>買気配フラグ-2</stp>
        <tr r="F19" s="1"/>
      </tp>
      <tp t="s">
        <v/>
        <stp/>
        <stp>OPBOARD</stp>
        <stp>N225op</stp>
        <stp>0</stp>
        <stp>P</stp>
        <stp>23750</stp>
        <stp>買気配フラグ-1</stp>
        <tr r="E25" s="1"/>
      </tp>
      <tp t="s">
        <v/>
        <stp/>
        <stp>OPBOARD</stp>
        <stp>N225op</stp>
        <stp>0</stp>
        <stp>C</stp>
        <stp>23750</stp>
        <stp>買気配フラグ-1</stp>
        <tr r="F25" s="1"/>
      </tp>
      <tp t="s">
        <v/>
        <stp/>
        <stp>OPBOARD</stp>
        <stp>N225op</stp>
        <stp>0</stp>
        <stp>P</stp>
        <stp>23750</stp>
        <stp>売気配フラグ-3</stp>
        <tr r="E12" s="1"/>
      </tp>
      <tp t="s">
        <v/>
        <stp/>
        <stp>OPBOARD</stp>
        <stp>N225op</stp>
        <stp>0</stp>
        <stp>C</stp>
        <stp>23750</stp>
        <stp>売気配フラグ-3</stp>
        <tr r="F12" s="1"/>
      </tp>
      <tp t="s">
        <v/>
        <stp/>
        <stp>OPBOARD</stp>
        <stp>N225op</stp>
        <stp>0</stp>
        <stp>P</stp>
        <stp>23750</stp>
        <stp>売気配フラグ-2</stp>
        <tr r="E18" s="1"/>
      </tp>
      <tp t="s">
        <v/>
        <stp/>
        <stp>OPBOARD</stp>
        <stp>N225op</stp>
        <stp>0</stp>
        <stp>C</stp>
        <stp>23750</stp>
        <stp>売気配フラグ-2</stp>
        <tr r="F18" s="1"/>
      </tp>
      <tp t="s">
        <v/>
        <stp/>
        <stp>OPBOARD</stp>
        <stp>N225op</stp>
        <stp>0</stp>
        <stp>P</stp>
        <stp>23750</stp>
        <stp>売気配フラグ-1</stp>
        <tr r="E24" s="1"/>
      </tp>
      <tp t="s">
        <v/>
        <stp/>
        <stp>OPBOARD</stp>
        <stp>N225op</stp>
        <stp>0</stp>
        <stp>C</stp>
        <stp>23750</stp>
        <stp>売気配フラグ-1</stp>
        <tr r="F24" s="1"/>
      </tp>
      <tp t="s">
        <v/>
        <stp/>
        <stp>OPBOARD</stp>
        <stp>N225op</stp>
        <stp>0</stp>
        <stp>P</stp>
        <stp>23750</stp>
        <stp>売気配フラグ-4</stp>
        <tr r="E6" s="1"/>
      </tp>
      <tp t="s">
        <v/>
        <stp/>
        <stp>OPBOARD</stp>
        <stp>N225op</stp>
        <stp>0</stp>
        <stp>C</stp>
        <stp>23750</stp>
        <stp>売気配フラグ-4</stp>
        <tr r="F6" s="1"/>
      </tp>
      <tp t="s">
        <v/>
        <stp/>
        <stp>OPBOARD</stp>
        <stp>N225op</stp>
        <stp>0</stp>
        <stp>P</stp>
        <stp>23875</stp>
        <stp>買気配フラグ15</stp>
        <tr r="D121" s="1"/>
      </tp>
      <tp t="s">
        <v/>
        <stp/>
        <stp>OPBOARD</stp>
        <stp>N225op</stp>
        <stp>0</stp>
        <stp>C</stp>
        <stp>23875</stp>
        <stp>買気配フラグ15</stp>
        <tr r="C121" s="1"/>
      </tp>
      <tp t="s">
        <v/>
        <stp/>
        <stp>OPBOARD</stp>
        <stp>N225op</stp>
        <stp>0</stp>
        <stp>P</stp>
        <stp>23875</stp>
        <stp>買気配フラグ14</stp>
        <tr r="D115" s="1"/>
      </tp>
      <tp t="s">
        <v/>
        <stp/>
        <stp>OPBOARD</stp>
        <stp>N225op</stp>
        <stp>0</stp>
        <stp>C</stp>
        <stp>23875</stp>
        <stp>買気配フラグ14</stp>
        <tr r="C115" s="1"/>
      </tp>
      <tp t="s">
        <v/>
        <stp/>
        <stp>OPBOARD</stp>
        <stp>N225op</stp>
        <stp>0</stp>
        <stp>P</stp>
        <stp>23875</stp>
        <stp>買気配フラグ13</stp>
        <tr r="D109" s="1"/>
      </tp>
      <tp t="s">
        <v/>
        <stp/>
        <stp>OPBOARD</stp>
        <stp>N225op</stp>
        <stp>0</stp>
        <stp>C</stp>
        <stp>23875</stp>
        <stp>買気配フラグ13</stp>
        <tr r="C109" s="1"/>
      </tp>
      <tp t="s">
        <v/>
        <stp/>
        <stp>OPBOARD</stp>
        <stp>N225op</stp>
        <stp>0</stp>
        <stp>P</stp>
        <stp>23875</stp>
        <stp>買気配フラグ12</stp>
        <tr r="D103" s="1"/>
      </tp>
      <tp t="s">
        <v/>
        <stp/>
        <stp>OPBOARD</stp>
        <stp>N225op</stp>
        <stp>0</stp>
        <stp>C</stp>
        <stp>23875</stp>
        <stp>買気配フラグ12</stp>
        <tr r="C103" s="1"/>
      </tp>
      <tp t="s">
        <v/>
        <stp/>
        <stp>OPBOARD</stp>
        <stp>N225op</stp>
        <stp>0</stp>
        <stp>P</stp>
        <stp>23875</stp>
        <stp>買気配フラグ11</stp>
        <tr r="D97" s="1"/>
      </tp>
      <tp t="s">
        <v/>
        <stp/>
        <stp>OPBOARD</stp>
        <stp>N225op</stp>
        <stp>0</stp>
        <stp>C</stp>
        <stp>23875</stp>
        <stp>買気配フラグ11</stp>
        <tr r="C97" s="1"/>
      </tp>
      <tp t="s">
        <v/>
        <stp/>
        <stp>OPBOARD</stp>
        <stp>N225op</stp>
        <stp>0</stp>
        <stp>P</stp>
        <stp>23875</stp>
        <stp>買気配フラグ10</stp>
        <tr r="D91" s="1"/>
      </tp>
      <tp t="s">
        <v/>
        <stp/>
        <stp>OPBOARD</stp>
        <stp>N225op</stp>
        <stp>0</stp>
        <stp>C</stp>
        <stp>23875</stp>
        <stp>買気配フラグ10</stp>
        <tr r="C91" s="1"/>
      </tp>
      <tp t="s">
        <v/>
        <stp/>
        <stp>OPBOARD</stp>
        <stp>N225op</stp>
        <stp>0</stp>
        <stp>P</stp>
        <stp>23875</stp>
        <stp>売気配フラグ13</stp>
        <tr r="D108" s="1"/>
      </tp>
      <tp t="s">
        <v/>
        <stp/>
        <stp>OPBOARD</stp>
        <stp>N225op</stp>
        <stp>0</stp>
        <stp>C</stp>
        <stp>23875</stp>
        <stp>売気配フラグ13</stp>
        <tr r="C108" s="1"/>
      </tp>
      <tp t="s">
        <v/>
        <stp/>
        <stp>OPBOARD</stp>
        <stp>N225op</stp>
        <stp>0</stp>
        <stp>P</stp>
        <stp>23875</stp>
        <stp>売気配フラグ12</stp>
        <tr r="D102" s="1"/>
      </tp>
      <tp t="s">
        <v/>
        <stp/>
        <stp>OPBOARD</stp>
        <stp>N225op</stp>
        <stp>0</stp>
        <stp>C</stp>
        <stp>23875</stp>
        <stp>売気配フラグ12</stp>
        <tr r="C102" s="1"/>
      </tp>
      <tp t="s">
        <v/>
        <stp/>
        <stp>OPBOARD</stp>
        <stp>N225op</stp>
        <stp>0</stp>
        <stp>P</stp>
        <stp>23875</stp>
        <stp>売気配フラグ11</stp>
        <tr r="D96" s="1"/>
      </tp>
      <tp t="s">
        <v/>
        <stp/>
        <stp>OPBOARD</stp>
        <stp>N225op</stp>
        <stp>0</stp>
        <stp>C</stp>
        <stp>23875</stp>
        <stp>売気配フラグ11</stp>
        <tr r="C96" s="1"/>
      </tp>
      <tp t="s">
        <v/>
        <stp/>
        <stp>OPBOARD</stp>
        <stp>N225op</stp>
        <stp>0</stp>
        <stp>P</stp>
        <stp>23875</stp>
        <stp>売気配フラグ10</stp>
        <tr r="D90" s="1"/>
      </tp>
      <tp t="s">
        <v/>
        <stp/>
        <stp>OPBOARD</stp>
        <stp>N225op</stp>
        <stp>0</stp>
        <stp>C</stp>
        <stp>23875</stp>
        <stp>売気配フラグ10</stp>
        <tr r="C90" s="1"/>
      </tp>
      <tp t="s">
        <v/>
        <stp/>
        <stp>OPBOARD</stp>
        <stp>N225op</stp>
        <stp>0</stp>
        <stp>P</stp>
        <stp>23875</stp>
        <stp>売気配フラグ15</stp>
        <tr r="D120" s="1"/>
      </tp>
      <tp t="s">
        <v/>
        <stp/>
        <stp>OPBOARD</stp>
        <stp>N225op</stp>
        <stp>0</stp>
        <stp>C</stp>
        <stp>23875</stp>
        <stp>売気配フラグ15</stp>
        <tr r="C120" s="1"/>
      </tp>
      <tp t="s">
        <v/>
        <stp/>
        <stp>OPBOARD</stp>
        <stp>N225op</stp>
        <stp>0</stp>
        <stp>P</stp>
        <stp>23875</stp>
        <stp>売気配フラグ14</stp>
        <tr r="D114" s="1"/>
      </tp>
      <tp t="s">
        <v/>
        <stp/>
        <stp>OPBOARD</stp>
        <stp>N225op</stp>
        <stp>0</stp>
        <stp>C</stp>
        <stp>23875</stp>
        <stp>売気配フラグ14</stp>
        <tr r="C114" s="1"/>
      </tp>
      <tp t="s">
        <v/>
        <stp/>
        <stp>OPBOARD</stp>
        <stp>N225op</stp>
        <stp>0</stp>
        <stp>P</stp>
        <stp>23875</stp>
        <stp>買気配フラグ-4</stp>
        <tr r="D7" s="1"/>
      </tp>
      <tp t="s">
        <v/>
        <stp/>
        <stp>OPBOARD</stp>
        <stp>N225op</stp>
        <stp>0</stp>
        <stp>C</stp>
        <stp>23875</stp>
        <stp>買気配フラグ-4</stp>
        <tr r="C7" s="1"/>
      </tp>
      <tp t="s">
        <v/>
        <stp/>
        <stp>OPBOARD</stp>
        <stp>N225op</stp>
        <stp>0</stp>
        <stp>P</stp>
        <stp>23875</stp>
        <stp>買気配フラグ-3</stp>
        <tr r="D13" s="1"/>
      </tp>
      <tp t="s">
        <v/>
        <stp/>
        <stp>OPBOARD</stp>
        <stp>N225op</stp>
        <stp>0</stp>
        <stp>C</stp>
        <stp>23875</stp>
        <stp>買気配フラグ-3</stp>
        <tr r="C13" s="1"/>
      </tp>
      <tp t="s">
        <v/>
        <stp/>
        <stp>OPBOARD</stp>
        <stp>N225op</stp>
        <stp>0</stp>
        <stp>P</stp>
        <stp>23875</stp>
        <stp>買気配フラグ-2</stp>
        <tr r="D19" s="1"/>
      </tp>
      <tp t="s">
        <v/>
        <stp/>
        <stp>OPBOARD</stp>
        <stp>N225op</stp>
        <stp>0</stp>
        <stp>C</stp>
        <stp>23875</stp>
        <stp>買気配フラグ-2</stp>
        <tr r="C19" s="1"/>
      </tp>
      <tp t="s">
        <v/>
        <stp/>
        <stp>OPBOARD</stp>
        <stp>N225op</stp>
        <stp>0</stp>
        <stp>P</stp>
        <stp>23875</stp>
        <stp>買気配フラグ-1</stp>
        <tr r="D25" s="1"/>
      </tp>
      <tp t="s">
        <v/>
        <stp/>
        <stp>OPBOARD</stp>
        <stp>N225op</stp>
        <stp>0</stp>
        <stp>C</stp>
        <stp>23875</stp>
        <stp>買気配フラグ-1</stp>
        <tr r="C25" s="1"/>
      </tp>
      <tp t="s">
        <v/>
        <stp/>
        <stp>OPBOARD</stp>
        <stp>N225op</stp>
        <stp>0</stp>
        <stp>P</stp>
        <stp>23875</stp>
        <stp>売気配フラグ-3</stp>
        <tr r="D12" s="1"/>
      </tp>
      <tp t="s">
        <v/>
        <stp/>
        <stp>OPBOARD</stp>
        <stp>N225op</stp>
        <stp>0</stp>
        <stp>C</stp>
        <stp>23875</stp>
        <stp>売気配フラグ-3</stp>
        <tr r="C12" s="1"/>
      </tp>
      <tp t="s">
        <v/>
        <stp/>
        <stp>OPBOARD</stp>
        <stp>N225op</stp>
        <stp>0</stp>
        <stp>P</stp>
        <stp>23875</stp>
        <stp>売気配フラグ-2</stp>
        <tr r="D18" s="1"/>
      </tp>
      <tp t="s">
        <v/>
        <stp/>
        <stp>OPBOARD</stp>
        <stp>N225op</stp>
        <stp>0</stp>
        <stp>C</stp>
        <stp>23875</stp>
        <stp>売気配フラグ-2</stp>
        <tr r="C18" s="1"/>
      </tp>
      <tp t="s">
        <v/>
        <stp/>
        <stp>OPBOARD</stp>
        <stp>N225op</stp>
        <stp>0</stp>
        <stp>P</stp>
        <stp>23875</stp>
        <stp>売気配フラグ-1</stp>
        <tr r="D24" s="1"/>
      </tp>
      <tp t="s">
        <v/>
        <stp/>
        <stp>OPBOARD</stp>
        <stp>N225op</stp>
        <stp>0</stp>
        <stp>C</stp>
        <stp>23875</stp>
        <stp>売気配フラグ-1</stp>
        <tr r="C24" s="1"/>
      </tp>
      <tp t="s">
        <v/>
        <stp/>
        <stp>OPBOARD</stp>
        <stp>N225op</stp>
        <stp>0</stp>
        <stp>P</stp>
        <stp>23875</stp>
        <stp>売気配フラグ-4</stp>
        <tr r="D6" s="1"/>
      </tp>
      <tp t="s">
        <v/>
        <stp/>
        <stp>OPBOARD</stp>
        <stp>N225op</stp>
        <stp>0</stp>
        <stp>C</stp>
        <stp>23875</stp>
        <stp>売気配フラグ-4</stp>
        <tr r="C6" s="1"/>
      </tp>
      <tp>
        <v>10</v>
        <stp/>
        <stp>OPBOARD</stp>
        <stp>N225op</stp>
        <stp>0</stp>
        <stp>C</stp>
        <stp>23875</stp>
        <stp>売気配数量-3</stp>
        <tr r="C10" s="1"/>
      </tp>
      <tp>
        <v>1</v>
        <stp/>
        <stp>OPBOARD</stp>
        <stp>N225op</stp>
        <stp>0</stp>
        <stp>C</stp>
        <stp>23875</stp>
        <stp>売気配数量-2</stp>
        <tr r="C16" s="1"/>
      </tp>
      <tp>
        <v>2</v>
        <stp/>
        <stp>OPBOARD</stp>
        <stp>N225op</stp>
        <stp>0</stp>
        <stp>C</stp>
        <stp>23875</stp>
        <stp>売気配数量-1</stp>
        <tr r="C22" s="1"/>
      </tp>
      <tp>
        <v>2</v>
        <stp/>
        <stp>OPBOARD</stp>
        <stp>N225op</stp>
        <stp>0</stp>
        <stp>C</stp>
        <stp>23875</stp>
        <stp>売気配数量-4</stp>
        <tr r="C4" s="1"/>
      </tp>
      <tp>
        <v>0</v>
        <stp/>
        <stp>OPBOARD</stp>
        <stp>N225op</stp>
        <stp>0</stp>
        <stp>C</stp>
        <stp>23875</stp>
        <stp>売気配数量13</stp>
        <tr r="C106" s="1"/>
      </tp>
      <tp>
        <v>0</v>
        <stp/>
        <stp>OPBOARD</stp>
        <stp>N225op</stp>
        <stp>0</stp>
        <stp>C</stp>
        <stp>23875</stp>
        <stp>売気配数量12</stp>
        <tr r="C100" s="1"/>
      </tp>
      <tp>
        <v>0</v>
        <stp/>
        <stp>OPBOARD</stp>
        <stp>N225op</stp>
        <stp>0</stp>
        <stp>C</stp>
        <stp>23875</stp>
        <stp>売気配数量11</stp>
        <tr r="C94" s="1"/>
      </tp>
      <tp>
        <v>0</v>
        <stp/>
        <stp>OPBOARD</stp>
        <stp>N225op</stp>
        <stp>0</stp>
        <stp>C</stp>
        <stp>23875</stp>
        <stp>売気配数量10</stp>
        <tr r="C88" s="1"/>
      </tp>
      <tp>
        <v>0</v>
        <stp/>
        <stp>OPBOARD</stp>
        <stp>N225op</stp>
        <stp>0</stp>
        <stp>C</stp>
        <stp>23875</stp>
        <stp>売気配数量15</stp>
        <tr r="C118" s="1"/>
      </tp>
      <tp>
        <v>0</v>
        <stp/>
        <stp>OPBOARD</stp>
        <stp>N225op</stp>
        <stp>0</stp>
        <stp>C</stp>
        <stp>23875</stp>
        <stp>売気配数量14</stp>
        <tr r="C112" s="1"/>
      </tp>
      <tp t="s">
        <v/>
        <stp/>
        <stp>OPBOARD</stp>
        <stp>N225op</stp>
        <stp>0</stp>
        <stp>P</stp>
        <stp>23875</stp>
        <stp>売気配フラグ8</stp>
        <tr r="D78" s="1"/>
      </tp>
      <tp t="s">
        <v/>
        <stp/>
        <stp>OPBOARD</stp>
        <stp>N225op</stp>
        <stp>0</stp>
        <stp>P</stp>
        <stp>23875</stp>
        <stp>売気配フラグ9</stp>
        <tr r="D84" s="1"/>
      </tp>
      <tp t="s">
        <v/>
        <stp/>
        <stp>OPBOARD</stp>
        <stp>N225op</stp>
        <stp>0</stp>
        <stp>P</stp>
        <stp>23875</stp>
        <stp>売気配フラグ6</stp>
        <tr r="D66" s="1"/>
      </tp>
      <tp t="s">
        <v/>
        <stp/>
        <stp>OPBOARD</stp>
        <stp>N225op</stp>
        <stp>0</stp>
        <stp>P</stp>
        <stp>23875</stp>
        <stp>売気配フラグ7</stp>
        <tr r="D72" s="1"/>
      </tp>
      <tp t="s">
        <v/>
        <stp/>
        <stp>OPBOARD</stp>
        <stp>N225op</stp>
        <stp>0</stp>
        <stp>P</stp>
        <stp>23875</stp>
        <stp>売気配フラグ4</stp>
        <tr r="D54" s="1"/>
      </tp>
      <tp t="s">
        <v/>
        <stp/>
        <stp>OPBOARD</stp>
        <stp>N225op</stp>
        <stp>0</stp>
        <stp>P</stp>
        <stp>23875</stp>
        <stp>売気配フラグ5</stp>
        <tr r="D60" s="1"/>
      </tp>
      <tp t="s">
        <v/>
        <stp/>
        <stp>OPBOARD</stp>
        <stp>N225op</stp>
        <stp>0</stp>
        <stp>P</stp>
        <stp>23875</stp>
        <stp>売気配フラグ2</stp>
        <tr r="D42" s="1"/>
      </tp>
      <tp t="s">
        <v/>
        <stp/>
        <stp>OPBOARD</stp>
        <stp>N225op</stp>
        <stp>0</stp>
        <stp>P</stp>
        <stp>23875</stp>
        <stp>売気配フラグ3</stp>
        <tr r="D48" s="1"/>
      </tp>
      <tp t="s">
        <v/>
        <stp/>
        <stp>OPBOARD</stp>
        <stp>N225op</stp>
        <stp>0</stp>
        <stp>P</stp>
        <stp>23875</stp>
        <stp>売気配フラグ0</stp>
        <tr r="D30" s="1"/>
      </tp>
      <tp t="s">
        <v/>
        <stp/>
        <stp>OPBOARD</stp>
        <stp>N225op</stp>
        <stp>0</stp>
        <stp>P</stp>
        <stp>23875</stp>
        <stp>売気配フラグ1</stp>
        <tr r="D36" s="1"/>
      </tp>
      <tp>
        <v>1</v>
        <stp/>
        <stp>OPBOARD</stp>
        <stp>N225op</stp>
        <stp>0</stp>
        <stp>C</stp>
        <stp>24000</stp>
        <stp>売気配数量-4</stp>
        <tr r="B4" s="1"/>
        <tr r="A4" s="1"/>
      </tp>
      <tp>
        <v>32</v>
        <stp/>
        <stp>OPBOARD</stp>
        <stp>N225op</stp>
        <stp>0</stp>
        <stp>C</stp>
        <stp>24000</stp>
        <stp>売気配数量-2</stp>
        <tr r="A16" s="1"/>
        <tr r="B16" s="1"/>
      </tp>
      <tp>
        <v>52</v>
        <stp/>
        <stp>OPBOARD</stp>
        <stp>N225op</stp>
        <stp>0</stp>
        <stp>C</stp>
        <stp>24000</stp>
        <stp>売気配数量-3</stp>
        <tr r="B10" s="1"/>
        <tr r="A10" s="1"/>
      </tp>
      <tp>
        <v>30</v>
        <stp/>
        <stp>OPBOARD</stp>
        <stp>N225op</stp>
        <stp>0</stp>
        <stp>C</stp>
        <stp>24000</stp>
        <stp>売気配数量-1</stp>
        <tr r="A22" s="1"/>
        <tr r="B22" s="1"/>
      </tp>
      <tp>
        <v>0</v>
        <stp/>
        <stp>OPBOARD</stp>
        <stp>N225op</stp>
        <stp>0</stp>
        <stp>C</stp>
        <stp>24000</stp>
        <stp>売気配数量14</stp>
        <tr r="B112" s="1"/>
        <tr r="A112" s="1"/>
      </tp>
      <tp>
        <v>0</v>
        <stp/>
        <stp>OPBOARD</stp>
        <stp>N225op</stp>
        <stp>0</stp>
        <stp>C</stp>
        <stp>24000</stp>
        <stp>売気配数量15</stp>
        <tr r="A118" s="1"/>
        <tr r="B118" s="1"/>
      </tp>
      <tp>
        <v>0</v>
        <stp/>
        <stp>OPBOARD</stp>
        <stp>N225op</stp>
        <stp>0</stp>
        <stp>C</stp>
        <stp>24000</stp>
        <stp>売気配数量12</stp>
        <tr r="A100" s="1"/>
        <tr r="B100" s="1"/>
      </tp>
      <tp>
        <v>0</v>
        <stp/>
        <stp>OPBOARD</stp>
        <stp>N225op</stp>
        <stp>0</stp>
        <stp>C</stp>
        <stp>24000</stp>
        <stp>売気配数量13</stp>
        <tr r="A106" s="1"/>
        <tr r="B106" s="1"/>
      </tp>
      <tp>
        <v>0</v>
        <stp/>
        <stp>OPBOARD</stp>
        <stp>N225op</stp>
        <stp>0</stp>
        <stp>C</stp>
        <stp>24000</stp>
        <stp>売気配数量10</stp>
        <tr r="B88" s="1"/>
      </tp>
      <tp>
        <v>0</v>
        <stp/>
        <stp>OPBOARD</stp>
        <stp>N225op</stp>
        <stp>0</stp>
        <stp>C</stp>
        <stp>24000</stp>
        <stp>売気配数量11</stp>
        <tr r="A94" s="1"/>
        <tr r="B94" s="1"/>
        <tr r="A88" s="1"/>
      </tp>
      <tp t="s">
        <v/>
        <stp/>
        <stp>OPBOARD</stp>
        <stp>N225op</stp>
        <stp>0</stp>
        <stp>P</stp>
        <stp>23750</stp>
        <stp>売気配フラグ9</stp>
        <tr r="E84" s="1"/>
      </tp>
      <tp t="s">
        <v/>
        <stp/>
        <stp>OPBOARD</stp>
        <stp>N225op</stp>
        <stp>0</stp>
        <stp>P</stp>
        <stp>23750</stp>
        <stp>売気配フラグ8</stp>
        <tr r="E78" s="1"/>
      </tp>
      <tp t="s">
        <v/>
        <stp/>
        <stp>OPBOARD</stp>
        <stp>N225op</stp>
        <stp>0</stp>
        <stp>P</stp>
        <stp>23750</stp>
        <stp>売気配フラグ3</stp>
        <tr r="E48" s="1"/>
      </tp>
      <tp t="s">
        <v/>
        <stp/>
        <stp>OPBOARD</stp>
        <stp>N225op</stp>
        <stp>0</stp>
        <stp>P</stp>
        <stp>23750</stp>
        <stp>売気配フラグ2</stp>
        <tr r="E42" s="1"/>
      </tp>
      <tp t="s">
        <v/>
        <stp/>
        <stp>OPBOARD</stp>
        <stp>N225op</stp>
        <stp>0</stp>
        <stp>P</stp>
        <stp>23750</stp>
        <stp>売気配フラグ1</stp>
        <tr r="E36" s="1"/>
      </tp>
      <tp t="s">
        <v/>
        <stp/>
        <stp>OPBOARD</stp>
        <stp>N225op</stp>
        <stp>0</stp>
        <stp>P</stp>
        <stp>23750</stp>
        <stp>売気配フラグ0</stp>
        <tr r="E30" s="1"/>
      </tp>
      <tp t="s">
        <v/>
        <stp/>
        <stp>OPBOARD</stp>
        <stp>N225op</stp>
        <stp>0</stp>
        <stp>P</stp>
        <stp>23750</stp>
        <stp>売気配フラグ7</stp>
        <tr r="E72" s="1"/>
      </tp>
      <tp t="s">
        <v/>
        <stp/>
        <stp>OPBOARD</stp>
        <stp>N225op</stp>
        <stp>0</stp>
        <stp>P</stp>
        <stp>23750</stp>
        <stp>売気配フラグ6</stp>
        <tr r="E66" s="1"/>
      </tp>
      <tp t="s">
        <v/>
        <stp/>
        <stp>OPBOARD</stp>
        <stp>N225op</stp>
        <stp>0</stp>
        <stp>P</stp>
        <stp>23750</stp>
        <stp>売気配フラグ5</stp>
        <tr r="E60" s="1"/>
      </tp>
      <tp t="s">
        <v/>
        <stp/>
        <stp>OPBOARD</stp>
        <stp>N225op</stp>
        <stp>0</stp>
        <stp>P</stp>
        <stp>23750</stp>
        <stp>売気配フラグ4</stp>
        <tr r="E54" s="1"/>
      </tp>
      <tp>
        <v>5</v>
        <stp/>
        <stp>OPBOARD</stp>
        <stp>N225op</stp>
        <stp>0</stp>
        <stp>C</stp>
        <stp>23750</stp>
        <stp>売気配数量-4</stp>
        <tr r="F4" s="1"/>
      </tp>
      <tp>
        <v>30</v>
        <stp/>
        <stp>OPBOARD</stp>
        <stp>N225op</stp>
        <stp>0</stp>
        <stp>C</stp>
        <stp>23750</stp>
        <stp>売気配数量-2</stp>
        <tr r="F16" s="1"/>
      </tp>
      <tp>
        <v>1</v>
        <stp/>
        <stp>OPBOARD</stp>
        <stp>N225op</stp>
        <stp>0</stp>
        <stp>C</stp>
        <stp>23750</stp>
        <stp>売気配数量-3</stp>
        <tr r="F10" s="1"/>
      </tp>
      <tp>
        <v>30</v>
        <stp/>
        <stp>OPBOARD</stp>
        <stp>N225op</stp>
        <stp>0</stp>
        <stp>C</stp>
        <stp>23750</stp>
        <stp>売気配数量-1</stp>
        <tr r="F22" s="1"/>
      </tp>
      <tp>
        <v>0</v>
        <stp/>
        <stp>OPBOARD</stp>
        <stp>N225op</stp>
        <stp>0</stp>
        <stp>C</stp>
        <stp>23750</stp>
        <stp>売気配数量14</stp>
        <tr r="F112" s="1"/>
      </tp>
      <tp>
        <v>0</v>
        <stp/>
        <stp>OPBOARD</stp>
        <stp>N225op</stp>
        <stp>0</stp>
        <stp>C</stp>
        <stp>23750</stp>
        <stp>売気配数量15</stp>
        <tr r="F118" s="1"/>
      </tp>
      <tp>
        <v>0</v>
        <stp/>
        <stp>OPBOARD</stp>
        <stp>N225op</stp>
        <stp>0</stp>
        <stp>C</stp>
        <stp>23750</stp>
        <stp>売気配数量12</stp>
        <tr r="F100" s="1"/>
      </tp>
      <tp>
        <v>0</v>
        <stp/>
        <stp>OPBOARD</stp>
        <stp>N225op</stp>
        <stp>0</stp>
        <stp>C</stp>
        <stp>23750</stp>
        <stp>売気配数量13</stp>
        <tr r="F106" s="1"/>
      </tp>
      <tp>
        <v>0</v>
        <stp/>
        <stp>OPBOARD</stp>
        <stp>N225op</stp>
        <stp>0</stp>
        <stp>C</stp>
        <stp>23750</stp>
        <stp>売気配数量10</stp>
        <tr r="F88" s="1"/>
      </tp>
      <tp>
        <v>0</v>
        <stp/>
        <stp>OPBOARD</stp>
        <stp>N225op</stp>
        <stp>0</stp>
        <stp>C</stp>
        <stp>23750</stp>
        <stp>売気配数量11</stp>
        <tr r="F94" s="1"/>
      </tp>
      <tp>
        <v>0</v>
        <stp/>
        <stp>OPBOARD</stp>
        <stp>N225op</stp>
        <stp>0</stp>
        <stp>P</stp>
        <stp>23875</stp>
        <stp>売気配数量-3</stp>
        <tr r="D10" s="1"/>
      </tp>
      <tp>
        <v>0</v>
        <stp/>
        <stp>OPBOARD</stp>
        <stp>N225op</stp>
        <stp>0</stp>
        <stp>P</stp>
        <stp>23875</stp>
        <stp>売気配数量-2</stp>
        <tr r="D16" s="1"/>
      </tp>
      <tp>
        <v>0</v>
        <stp/>
        <stp>OPBOARD</stp>
        <stp>N225op</stp>
        <stp>0</stp>
        <stp>P</stp>
        <stp>23875</stp>
        <stp>売気配数量-1</stp>
        <tr r="D22" s="1"/>
      </tp>
      <tp>
        <v>0</v>
        <stp/>
        <stp>OPBOARD</stp>
        <stp>N225op</stp>
        <stp>0</stp>
        <stp>P</stp>
        <stp>23875</stp>
        <stp>売気配数量-4</stp>
        <tr r="D4" s="1"/>
      </tp>
      <tp>
        <v>0</v>
        <stp/>
        <stp>OPBOARD</stp>
        <stp>N225op</stp>
        <stp>0</stp>
        <stp>P</stp>
        <stp>23875</stp>
        <stp>売気配数量13</stp>
        <tr r="D106" s="1"/>
      </tp>
      <tp>
        <v>0</v>
        <stp/>
        <stp>OPBOARD</stp>
        <stp>N225op</stp>
        <stp>0</stp>
        <stp>P</stp>
        <stp>23875</stp>
        <stp>売気配数量12</stp>
        <tr r="D100" s="1"/>
      </tp>
      <tp>
        <v>0</v>
        <stp/>
        <stp>OPBOARD</stp>
        <stp>N225op</stp>
        <stp>0</stp>
        <stp>P</stp>
        <stp>23875</stp>
        <stp>売気配数量11</stp>
        <tr r="D94" s="1"/>
      </tp>
      <tp>
        <v>0</v>
        <stp/>
        <stp>OPBOARD</stp>
        <stp>N225op</stp>
        <stp>0</stp>
        <stp>P</stp>
        <stp>23875</stp>
        <stp>売気配数量10</stp>
        <tr r="D88" s="1"/>
      </tp>
      <tp>
        <v>0</v>
        <stp/>
        <stp>OPBOARD</stp>
        <stp>N225op</stp>
        <stp>0</stp>
        <stp>P</stp>
        <stp>23875</stp>
        <stp>売気配数量15</stp>
        <tr r="D118" s="1"/>
      </tp>
      <tp>
        <v>0</v>
        <stp/>
        <stp>OPBOARD</stp>
        <stp>N225op</stp>
        <stp>0</stp>
        <stp>P</stp>
        <stp>23875</stp>
        <stp>売気配数量14</stp>
        <tr r="D112" s="1"/>
      </tp>
      <tp t="s">
        <v/>
        <stp/>
        <stp>OPBOARD</stp>
        <stp>N225op</stp>
        <stp>0</stp>
        <stp>C</stp>
        <stp>23875</stp>
        <stp>売気配フラグ8</stp>
        <tr r="C78" s="1"/>
      </tp>
      <tp t="s">
        <v/>
        <stp/>
        <stp>OPBOARD</stp>
        <stp>N225op</stp>
        <stp>0</stp>
        <stp>C</stp>
        <stp>23875</stp>
        <stp>売気配フラグ9</stp>
        <tr r="C84" s="1"/>
      </tp>
      <tp t="s">
        <v/>
        <stp/>
        <stp>OPBOARD</stp>
        <stp>N225op</stp>
        <stp>0</stp>
        <stp>C</stp>
        <stp>23875</stp>
        <stp>売気配フラグ6</stp>
        <tr r="C66" s="1"/>
      </tp>
      <tp t="s">
        <v/>
        <stp/>
        <stp>OPBOARD</stp>
        <stp>N225op</stp>
        <stp>0</stp>
        <stp>C</stp>
        <stp>23875</stp>
        <stp>売気配フラグ7</stp>
        <tr r="C72" s="1"/>
      </tp>
      <tp t="s">
        <v/>
        <stp/>
        <stp>OPBOARD</stp>
        <stp>N225op</stp>
        <stp>0</stp>
        <stp>C</stp>
        <stp>23875</stp>
        <stp>売気配フラグ4</stp>
        <tr r="C54" s="1"/>
      </tp>
      <tp t="s">
        <v/>
        <stp/>
        <stp>OPBOARD</stp>
        <stp>N225op</stp>
        <stp>0</stp>
        <stp>C</stp>
        <stp>23875</stp>
        <stp>売気配フラグ5</stp>
        <tr r="C60" s="1"/>
      </tp>
      <tp t="s">
        <v/>
        <stp/>
        <stp>OPBOARD</stp>
        <stp>N225op</stp>
        <stp>0</stp>
        <stp>C</stp>
        <stp>23875</stp>
        <stp>売気配フラグ2</stp>
        <tr r="C42" s="1"/>
      </tp>
      <tp t="s">
        <v/>
        <stp/>
        <stp>OPBOARD</stp>
        <stp>N225op</stp>
        <stp>0</stp>
        <stp>C</stp>
        <stp>23875</stp>
        <stp>売気配フラグ3</stp>
        <tr r="C48" s="1"/>
      </tp>
      <tp t="s">
        <v/>
        <stp/>
        <stp>OPBOARD</stp>
        <stp>N225op</stp>
        <stp>0</stp>
        <stp>C</stp>
        <stp>23875</stp>
        <stp>売気配フラグ0</stp>
        <tr r="C30" s="1"/>
      </tp>
      <tp t="s">
        <v/>
        <stp/>
        <stp>OPBOARD</stp>
        <stp>N225op</stp>
        <stp>0</stp>
        <stp>C</stp>
        <stp>23875</stp>
        <stp>売気配フラグ1</stp>
        <tr r="C36" s="1"/>
      </tp>
      <tp t="s">
        <v/>
        <stp/>
        <stp>OPBOARD</stp>
        <stp>N225op</stp>
        <stp>0</stp>
        <stp>C</stp>
        <stp>23750</stp>
        <stp>売気配フラグ9</stp>
        <tr r="F84" s="1"/>
      </tp>
      <tp t="s">
        <v/>
        <stp/>
        <stp>OPBOARD</stp>
        <stp>N225op</stp>
        <stp>0</stp>
        <stp>C</stp>
        <stp>23750</stp>
        <stp>売気配フラグ8</stp>
        <tr r="F78" s="1"/>
      </tp>
      <tp t="s">
        <v/>
        <stp/>
        <stp>OPBOARD</stp>
        <stp>N225op</stp>
        <stp>0</stp>
        <stp>C</stp>
        <stp>23750</stp>
        <stp>売気配フラグ3</stp>
        <tr r="F48" s="1"/>
      </tp>
      <tp t="s">
        <v/>
        <stp/>
        <stp>OPBOARD</stp>
        <stp>N225op</stp>
        <stp>0</stp>
        <stp>C</stp>
        <stp>23750</stp>
        <stp>売気配フラグ2</stp>
        <tr r="F42" s="1"/>
      </tp>
      <tp t="s">
        <v/>
        <stp/>
        <stp>OPBOARD</stp>
        <stp>N225op</stp>
        <stp>0</stp>
        <stp>C</stp>
        <stp>23750</stp>
        <stp>売気配フラグ1</stp>
        <tr r="F36" s="1"/>
      </tp>
      <tp t="s">
        <v/>
        <stp/>
        <stp>OPBOARD</stp>
        <stp>N225op</stp>
        <stp>0</stp>
        <stp>C</stp>
        <stp>23750</stp>
        <stp>売気配フラグ0</stp>
        <tr r="F30" s="1"/>
      </tp>
      <tp t="s">
        <v/>
        <stp/>
        <stp>OPBOARD</stp>
        <stp>N225op</stp>
        <stp>0</stp>
        <stp>C</stp>
        <stp>23750</stp>
        <stp>売気配フラグ7</stp>
        <tr r="F72" s="1"/>
      </tp>
      <tp t="s">
        <v/>
        <stp/>
        <stp>OPBOARD</stp>
        <stp>N225op</stp>
        <stp>0</stp>
        <stp>C</stp>
        <stp>23750</stp>
        <stp>売気配フラグ6</stp>
        <tr r="F66" s="1"/>
      </tp>
      <tp t="s">
        <v/>
        <stp/>
        <stp>OPBOARD</stp>
        <stp>N225op</stp>
        <stp>0</stp>
        <stp>C</stp>
        <stp>23750</stp>
        <stp>売気配フラグ5</stp>
        <tr r="F60" s="1"/>
      </tp>
      <tp t="s">
        <v/>
        <stp/>
        <stp>OPBOARD</stp>
        <stp>N225op</stp>
        <stp>0</stp>
        <stp>C</stp>
        <stp>23750</stp>
        <stp>売気配フラグ4</stp>
        <tr r="F54" s="1"/>
      </tp>
      <tp>
        <v>8</v>
        <stp/>
        <stp>OPBOARD</stp>
        <stp>N225op</stp>
        <stp>0</stp>
        <stp>C</stp>
        <stp>24000</stp>
        <stp>気配値9</stp>
        <tr r="A86" s="1"/>
        <tr r="B86" s="1"/>
      </tp>
      <tp>
        <v>9</v>
        <stp/>
        <stp>OPBOARD</stp>
        <stp>N225op</stp>
        <stp>0</stp>
        <stp>C</stp>
        <stp>24000</stp>
        <stp>気配値8</stp>
        <tr r="B80" s="1"/>
        <tr r="A80" s="1"/>
      </tp>
      <tp>
        <v>16</v>
        <stp/>
        <stp>OPBOARD</stp>
        <stp>N225op</stp>
        <stp>0</stp>
        <stp>C</stp>
        <stp>24000</stp>
        <stp>気配値1</stp>
        <tr r="B38" s="1"/>
        <tr r="A32" s="1"/>
        <tr r="A38" s="1"/>
      </tp>
      <tp>
        <v>17</v>
        <stp/>
        <stp>OPBOARD</stp>
        <stp>N225op</stp>
        <stp>0</stp>
        <stp>C</stp>
        <stp>24000</stp>
        <stp>気配値0</stp>
        <tr r="B32" s="1"/>
      </tp>
      <tp>
        <v>14</v>
        <stp/>
        <stp>OPBOARD</stp>
        <stp>N225op</stp>
        <stp>0</stp>
        <stp>C</stp>
        <stp>24000</stp>
        <stp>気配値3</stp>
        <tr r="A50" s="1"/>
        <tr r="B50" s="1"/>
      </tp>
      <tp>
        <v>15</v>
        <stp/>
        <stp>OPBOARD</stp>
        <stp>N225op</stp>
        <stp>0</stp>
        <stp>C</stp>
        <stp>24000</stp>
        <stp>気配値2</stp>
        <tr r="B44" s="1"/>
        <tr r="A44" s="1"/>
      </tp>
      <tp>
        <v>12</v>
        <stp/>
        <stp>OPBOARD</stp>
        <stp>N225op</stp>
        <stp>0</stp>
        <stp>C</stp>
        <stp>24000</stp>
        <stp>気配値5</stp>
        <tr r="A62" s="1"/>
        <tr r="B62" s="1"/>
      </tp>
      <tp>
        <v>13</v>
        <stp/>
        <stp>OPBOARD</stp>
        <stp>N225op</stp>
        <stp>0</stp>
        <stp>C</stp>
        <stp>24000</stp>
        <stp>気配値4</stp>
        <tr r="B56" s="1"/>
        <tr r="A56" s="1"/>
      </tp>
      <tp>
        <v>10</v>
        <stp/>
        <stp>OPBOARD</stp>
        <stp>N225op</stp>
        <stp>0</stp>
        <stp>C</stp>
        <stp>24000</stp>
        <stp>気配値7</stp>
        <tr r="A74" s="1"/>
        <tr r="B74" s="1"/>
      </tp>
      <tp>
        <v>11</v>
        <stp/>
        <stp>OPBOARD</stp>
        <stp>N225op</stp>
        <stp>0</stp>
        <stp>C</stp>
        <stp>24000</stp>
        <stp>気配値6</stp>
        <tr r="A68" s="1"/>
        <tr r="B68" s="1"/>
      </tp>
      <tp>
        <v>0</v>
        <stp/>
        <stp>OPBOARD</stp>
        <stp>N225op</stp>
        <stp>0</stp>
        <stp>P</stp>
        <stp>23750</stp>
        <stp>売気配数量-4</stp>
        <tr r="E4" s="1"/>
      </tp>
      <tp>
        <v>0</v>
        <stp/>
        <stp>OPBOARD</stp>
        <stp>N225op</stp>
        <stp>0</stp>
        <stp>P</stp>
        <stp>23750</stp>
        <stp>売気配数量-2</stp>
        <tr r="E16" s="1"/>
      </tp>
      <tp>
        <v>0</v>
        <stp/>
        <stp>OPBOARD</stp>
        <stp>N225op</stp>
        <stp>0</stp>
        <stp>P</stp>
        <stp>23750</stp>
        <stp>売気配数量-3</stp>
        <tr r="E10" s="1"/>
      </tp>
      <tp>
        <v>0</v>
        <stp/>
        <stp>OPBOARD</stp>
        <stp>N225op</stp>
        <stp>0</stp>
        <stp>P</stp>
        <stp>23750</stp>
        <stp>売気配数量-1</stp>
        <tr r="E22" s="1"/>
      </tp>
      <tp>
        <v>0</v>
        <stp/>
        <stp>OPBOARD</stp>
        <stp>N225op</stp>
        <stp>0</stp>
        <stp>P</stp>
        <stp>23750</stp>
        <stp>売気配数量14</stp>
        <tr r="E112" s="1"/>
      </tp>
      <tp>
        <v>0</v>
        <stp/>
        <stp>OPBOARD</stp>
        <stp>N225op</stp>
        <stp>0</stp>
        <stp>P</stp>
        <stp>23750</stp>
        <stp>売気配数量15</stp>
        <tr r="E118" s="1"/>
      </tp>
      <tp>
        <v>0</v>
        <stp/>
        <stp>OPBOARD</stp>
        <stp>N225op</stp>
        <stp>0</stp>
        <stp>P</stp>
        <stp>23750</stp>
        <stp>売気配数量12</stp>
        <tr r="E100" s="1"/>
      </tp>
      <tp>
        <v>0</v>
        <stp/>
        <stp>OPBOARD</stp>
        <stp>N225op</stp>
        <stp>0</stp>
        <stp>P</stp>
        <stp>23750</stp>
        <stp>売気配数量13</stp>
        <tr r="E106" s="1"/>
      </tp>
      <tp>
        <v>0</v>
        <stp/>
        <stp>OPBOARD</stp>
        <stp>N225op</stp>
        <stp>0</stp>
        <stp>P</stp>
        <stp>23750</stp>
        <stp>売気配数量10</stp>
        <tr r="E88" s="1"/>
      </tp>
      <tp>
        <v>0</v>
        <stp/>
        <stp>OPBOARD</stp>
        <stp>N225op</stp>
        <stp>0</stp>
        <stp>P</stp>
        <stp>23750</stp>
        <stp>売気配数量11</stp>
        <tr r="E94" s="1"/>
      </tp>
      <tp>
        <v>0</v>
        <stp/>
        <stp>OPBOARD</stp>
        <stp>N225op</stp>
        <stp>0</stp>
        <stp>P</stp>
        <stp>23875</stp>
        <stp>気配値8</stp>
        <tr r="D80" s="1"/>
      </tp>
      <tp>
        <v>11</v>
        <stp/>
        <stp>OPBOARD</stp>
        <stp>N225op</stp>
        <stp>0</stp>
        <stp>C</stp>
        <stp>23875</stp>
        <stp>気配値8</stp>
        <tr r="C80" s="1"/>
      </tp>
      <tp>
        <v>0</v>
        <stp/>
        <stp>OPBOARD</stp>
        <stp>N225op</stp>
        <stp>0</stp>
        <stp>P</stp>
        <stp>23875</stp>
        <stp>気配値9</stp>
        <tr r="D86" s="1"/>
      </tp>
      <tp>
        <v>10</v>
        <stp/>
        <stp>OPBOARD</stp>
        <stp>N225op</stp>
        <stp>0</stp>
        <stp>C</stp>
        <stp>23875</stp>
        <stp>気配値9</stp>
        <tr r="C86" s="1"/>
      </tp>
      <tp>
        <v>1</v>
        <stp/>
        <stp>OPBOARD</stp>
        <stp>N225op</stp>
        <stp>0</stp>
        <stp>P</stp>
        <stp>23875</stp>
        <stp>気配値6</stp>
        <tr r="D68" s="1"/>
      </tp>
      <tp>
        <v>13</v>
        <stp/>
        <stp>OPBOARD</stp>
        <stp>N225op</stp>
        <stp>0</stp>
        <stp>C</stp>
        <stp>23875</stp>
        <stp>気配値6</stp>
        <tr r="C68" s="1"/>
      </tp>
      <tp>
        <v>0</v>
        <stp/>
        <stp>OPBOARD</stp>
        <stp>N225op</stp>
        <stp>0</stp>
        <stp>P</stp>
        <stp>23875</stp>
        <stp>気配値7</stp>
        <tr r="D74" s="1"/>
      </tp>
      <tp>
        <v>12</v>
        <stp/>
        <stp>OPBOARD</stp>
        <stp>N225op</stp>
        <stp>0</stp>
        <stp>C</stp>
        <stp>23875</stp>
        <stp>気配値7</stp>
        <tr r="C74" s="1"/>
      </tp>
      <tp>
        <v>0</v>
        <stp/>
        <stp>OPBOARD</stp>
        <stp>N225op</stp>
        <stp>0</stp>
        <stp>P</stp>
        <stp>23875</stp>
        <stp>気配値4</stp>
        <tr r="D56" s="1"/>
      </tp>
      <tp>
        <v>15</v>
        <stp/>
        <stp>OPBOARD</stp>
        <stp>N225op</stp>
        <stp>0</stp>
        <stp>C</stp>
        <stp>23875</stp>
        <stp>気配値4</stp>
        <tr r="C56" s="1"/>
      </tp>
      <tp>
        <v>0</v>
        <stp/>
        <stp>OPBOARD</stp>
        <stp>N225op</stp>
        <stp>0</stp>
        <stp>P</stp>
        <stp>23875</stp>
        <stp>気配値5</stp>
        <tr r="D62" s="1"/>
      </tp>
      <tp>
        <v>14</v>
        <stp/>
        <stp>OPBOARD</stp>
        <stp>N225op</stp>
        <stp>0</stp>
        <stp>C</stp>
        <stp>23875</stp>
        <stp>気配値5</stp>
        <tr r="C62" s="1"/>
      </tp>
      <tp>
        <v>0</v>
        <stp/>
        <stp>OPBOARD</stp>
        <stp>N225op</stp>
        <stp>0</stp>
        <stp>P</stp>
        <stp>23875</stp>
        <stp>気配値2</stp>
        <tr r="D44" s="1"/>
      </tp>
      <tp>
        <v>17</v>
        <stp/>
        <stp>OPBOARD</stp>
        <stp>N225op</stp>
        <stp>0</stp>
        <stp>C</stp>
        <stp>23875</stp>
        <stp>気配値2</stp>
        <tr r="C44" s="1"/>
      </tp>
      <tp>
        <v>0</v>
        <stp/>
        <stp>OPBOARD</stp>
        <stp>N225op</stp>
        <stp>0</stp>
        <stp>P</stp>
        <stp>23875</stp>
        <stp>気配値3</stp>
        <tr r="D50" s="1"/>
      </tp>
      <tp>
        <v>16</v>
        <stp/>
        <stp>OPBOARD</stp>
        <stp>N225op</stp>
        <stp>0</stp>
        <stp>C</stp>
        <stp>23875</stp>
        <stp>気配値3</stp>
        <tr r="C50" s="1"/>
      </tp>
      <tp>
        <v>0</v>
        <stp/>
        <stp>OPBOARD</stp>
        <stp>N225op</stp>
        <stp>0</stp>
        <stp>P</stp>
        <stp>23875</stp>
        <stp>気配値0</stp>
        <tr r="D32" s="1"/>
      </tp>
      <tp>
        <v>19</v>
        <stp/>
        <stp>OPBOARD</stp>
        <stp>N225op</stp>
        <stp>0</stp>
        <stp>C</stp>
        <stp>23875</stp>
        <stp>気配値0</stp>
        <tr r="C32" s="1"/>
      </tp>
      <tp>
        <v>0</v>
        <stp/>
        <stp>OPBOARD</stp>
        <stp>N225op</stp>
        <stp>0</stp>
        <stp>P</stp>
        <stp>23875</stp>
        <stp>気配値1</stp>
        <tr r="D38" s="1"/>
      </tp>
      <tp>
        <v>18</v>
        <stp/>
        <stp>OPBOARD</stp>
        <stp>N225op</stp>
        <stp>0</stp>
        <stp>C</stp>
        <stp>23875</stp>
        <stp>気配値1</stp>
        <tr r="C38" s="1"/>
      </tp>
      <tp t="s">
        <v/>
        <stp/>
        <stp>OPBOARD</stp>
        <stp>N225op</stp>
        <stp>0</stp>
        <stp>C</stp>
        <stp>24000</stp>
        <stp>売気配フラグ9</stp>
        <tr r="A84" s="1"/>
        <tr r="B84" s="1"/>
      </tp>
      <tp t="s">
        <v/>
        <stp/>
        <stp>OPBOARD</stp>
        <stp>N225op</stp>
        <stp>0</stp>
        <stp>C</stp>
        <stp>24000</stp>
        <stp>売気配フラグ8</stp>
        <tr r="B78" s="1"/>
        <tr r="A78" s="1"/>
      </tp>
      <tp t="s">
        <v/>
        <stp/>
        <stp>OPBOARD</stp>
        <stp>N225op</stp>
        <stp>0</stp>
        <stp>C</stp>
        <stp>24000</stp>
        <stp>売気配フラグ3</stp>
        <tr r="B48" s="1"/>
        <tr r="A48" s="1"/>
      </tp>
      <tp t="s">
        <v/>
        <stp/>
        <stp>OPBOARD</stp>
        <stp>N225op</stp>
        <stp>0</stp>
        <stp>C</stp>
        <stp>24000</stp>
        <stp>売気配フラグ2</stp>
        <tr r="B42" s="1"/>
        <tr r="A42" s="1"/>
      </tp>
      <tp t="s">
        <v/>
        <stp/>
        <stp>OPBOARD</stp>
        <stp>N225op</stp>
        <stp>0</stp>
        <stp>C</stp>
        <stp>24000</stp>
        <stp>売気配フラグ1</stp>
        <tr r="A30" s="1"/>
        <tr r="A36" s="1"/>
        <tr r="B36" s="1"/>
      </tp>
      <tp t="s">
        <v/>
        <stp/>
        <stp>OPBOARD</stp>
        <stp>N225op</stp>
        <stp>0</stp>
        <stp>C</stp>
        <stp>24000</stp>
        <stp>売気配フラグ0</stp>
        <tr r="B30" s="1"/>
      </tp>
      <tp t="s">
        <v/>
        <stp/>
        <stp>OPBOARD</stp>
        <stp>N225op</stp>
        <stp>0</stp>
        <stp>C</stp>
        <stp>24000</stp>
        <stp>売気配フラグ7</stp>
        <tr r="B72" s="1"/>
        <tr r="A72" s="1"/>
      </tp>
      <tp t="s">
        <v/>
        <stp/>
        <stp>OPBOARD</stp>
        <stp>N225op</stp>
        <stp>0</stp>
        <stp>C</stp>
        <stp>24000</stp>
        <stp>売気配フラグ6</stp>
        <tr r="A66" s="1"/>
        <tr r="B66" s="1"/>
      </tp>
      <tp t="s">
        <v/>
        <stp/>
        <stp>OPBOARD</stp>
        <stp>N225op</stp>
        <stp>0</stp>
        <stp>C</stp>
        <stp>24000</stp>
        <stp>売気配フラグ5</stp>
        <tr r="B60" s="1"/>
        <tr r="A60" s="1"/>
      </tp>
      <tp t="s">
        <v/>
        <stp/>
        <stp>OPBOARD</stp>
        <stp>N225op</stp>
        <stp>0</stp>
        <stp>C</stp>
        <stp>24000</stp>
        <stp>売気配フラグ4</stp>
        <tr r="A54" s="1"/>
        <tr r="B54" s="1"/>
      </tp>
      <tp>
        <v>0</v>
        <stp/>
        <stp>OPBOARD</stp>
        <stp>N225op</stp>
        <stp>0</stp>
        <stp>P</stp>
        <stp>23750</stp>
        <stp>気配値8</stp>
        <tr r="E80" s="1"/>
      </tp>
      <tp>
        <v>13</v>
        <stp/>
        <stp>OPBOARD</stp>
        <stp>N225op</stp>
        <stp>0</stp>
        <stp>C</stp>
        <stp>23750</stp>
        <stp>気配値8</stp>
        <tr r="F80" s="1"/>
      </tp>
      <tp>
        <v>0</v>
        <stp/>
        <stp>OPBOARD</stp>
        <stp>N225op</stp>
        <stp>0</stp>
        <stp>P</stp>
        <stp>23750</stp>
        <stp>気配値9</stp>
        <tr r="E86" s="1"/>
      </tp>
      <tp>
        <v>12</v>
        <stp/>
        <stp>OPBOARD</stp>
        <stp>N225op</stp>
        <stp>0</stp>
        <stp>C</stp>
        <stp>23750</stp>
        <stp>気配値9</stp>
        <tr r="F86" s="1"/>
      </tp>
      <tp>
        <v>2</v>
        <stp/>
        <stp>OPBOARD</stp>
        <stp>N225op</stp>
        <stp>0</stp>
        <stp>P</stp>
        <stp>23750</stp>
        <stp>気配値6</stp>
        <tr r="E68" s="1"/>
      </tp>
      <tp>
        <v>15</v>
        <stp/>
        <stp>OPBOARD</stp>
        <stp>N225op</stp>
        <stp>0</stp>
        <stp>C</stp>
        <stp>23750</stp>
        <stp>気配値6</stp>
        <tr r="F68" s="1"/>
      </tp>
      <tp>
        <v>1</v>
        <stp/>
        <stp>OPBOARD</stp>
        <stp>N225op</stp>
        <stp>0</stp>
        <stp>P</stp>
        <stp>23750</stp>
        <stp>気配値7</stp>
        <tr r="E74" s="1"/>
      </tp>
      <tp>
        <v>14</v>
        <stp/>
        <stp>OPBOARD</stp>
        <stp>N225op</stp>
        <stp>0</stp>
        <stp>C</stp>
        <stp>23750</stp>
        <stp>気配値7</stp>
        <tr r="F74" s="1"/>
      </tp>
      <tp>
        <v>0</v>
        <stp/>
        <stp>OPBOARD</stp>
        <stp>N225op</stp>
        <stp>0</stp>
        <stp>P</stp>
        <stp>23750</stp>
        <stp>気配値4</stp>
        <tr r="E56" s="1"/>
      </tp>
      <tp>
        <v>18</v>
        <stp/>
        <stp>OPBOARD</stp>
        <stp>N225op</stp>
        <stp>0</stp>
        <stp>C</stp>
        <stp>23750</stp>
        <stp>気配値4</stp>
        <tr r="F56" s="1"/>
      </tp>
      <tp>
        <v>0</v>
        <stp/>
        <stp>OPBOARD</stp>
        <stp>N225op</stp>
        <stp>0</stp>
        <stp>P</stp>
        <stp>23750</stp>
        <stp>気配値5</stp>
        <tr r="E62" s="1"/>
      </tp>
      <tp>
        <v>17</v>
        <stp/>
        <stp>OPBOARD</stp>
        <stp>N225op</stp>
        <stp>0</stp>
        <stp>C</stp>
        <stp>23750</stp>
        <stp>気配値5</stp>
        <tr r="F62" s="1"/>
      </tp>
      <tp>
        <v>0</v>
        <stp/>
        <stp>OPBOARD</stp>
        <stp>N225op</stp>
        <stp>0</stp>
        <stp>P</stp>
        <stp>23750</stp>
        <stp>気配値2</stp>
        <tr r="E44" s="1"/>
      </tp>
      <tp>
        <v>20</v>
        <stp/>
        <stp>OPBOARD</stp>
        <stp>N225op</stp>
        <stp>0</stp>
        <stp>C</stp>
        <stp>23750</stp>
        <stp>気配値2</stp>
        <tr r="F44" s="1"/>
      </tp>
      <tp>
        <v>0</v>
        <stp/>
        <stp>OPBOARD</stp>
        <stp>N225op</stp>
        <stp>0</stp>
        <stp>P</stp>
        <stp>23750</stp>
        <stp>気配値3</stp>
        <tr r="E50" s="1"/>
      </tp>
      <tp>
        <v>19</v>
        <stp/>
        <stp>OPBOARD</stp>
        <stp>N225op</stp>
        <stp>0</stp>
        <stp>C</stp>
        <stp>23750</stp>
        <stp>気配値3</stp>
        <tr r="F50" s="1"/>
      </tp>
      <tp>
        <v>0</v>
        <stp/>
        <stp>OPBOARD</stp>
        <stp>N225op</stp>
        <stp>0</stp>
        <stp>P</stp>
        <stp>23750</stp>
        <stp>気配値0</stp>
        <tr r="E32" s="1"/>
      </tp>
      <tp>
        <v>22</v>
        <stp/>
        <stp>OPBOARD</stp>
        <stp>N225op</stp>
        <stp>0</stp>
        <stp>C</stp>
        <stp>23750</stp>
        <stp>気配値0</stp>
        <tr r="F32" s="1"/>
      </tp>
      <tp>
        <v>0</v>
        <stp/>
        <stp>OPBOARD</stp>
        <stp>N225op</stp>
        <stp>0</stp>
        <stp>P</stp>
        <stp>23750</stp>
        <stp>気配値1</stp>
        <tr r="E38" s="1"/>
      </tp>
      <tp>
        <v>21</v>
        <stp/>
        <stp>OPBOARD</stp>
        <stp>N225op</stp>
        <stp>0</stp>
        <stp>C</stp>
        <stp>23750</stp>
        <stp>気配値1</stp>
        <tr r="F38" s="1"/>
      </tp>
      <tp t="s">
        <v>大証</v>
        <stp/>
        <stp>OPBOARD</stp>
        <stp>N225op</stp>
        <stp>0</stp>
        <stp>C</stp>
        <stp>23875</stp>
        <stp>市場コード</stp>
        <tr r="C1" s="1"/>
      </tp>
      <tp t="s">
        <v>大証</v>
        <stp/>
        <stp>OPBOARD</stp>
        <stp>N225op</stp>
        <stp>0</stp>
        <stp>P</stp>
        <stp>23875</stp>
        <stp>市場コード</stp>
        <tr r="D1" s="1"/>
      </tp>
      <tp>
        <v>0</v>
        <stp/>
        <stp>OPBOARD</stp>
        <stp>N225op</stp>
        <stp>0</stp>
        <stp>C</stp>
        <stp>23875</stp>
        <stp>成行買気配数量</stp>
        <tr r="C125" s="1"/>
      </tp>
      <tp>
        <v>0</v>
        <stp/>
        <stp>OPBOARD</stp>
        <stp>N225op</stp>
        <stp>0</stp>
        <stp>C</stp>
        <stp>23875</stp>
        <stp>成行売気配数量</stp>
        <tr r="C124" s="1"/>
      </tp>
      <tp t="s">
        <v>大証</v>
        <stp/>
        <stp>OPBOARD</stp>
        <stp>N225op</stp>
        <stp>0</stp>
        <stp>C</stp>
        <stp>23750</stp>
        <stp>市場コード</stp>
        <tr r="F1" s="1"/>
      </tp>
      <tp t="s">
        <v>大証</v>
        <stp/>
        <stp>OPBOARD</stp>
        <stp>N225op</stp>
        <stp>0</stp>
        <stp>P</stp>
        <stp>23750</stp>
        <stp>市場コード</stp>
        <tr r="E1" s="1"/>
      </tp>
      <tp t="s">
        <v>大証</v>
        <stp/>
        <stp>OPBOARD</stp>
        <stp>N225op</stp>
        <stp>0</stp>
        <stp>C</stp>
        <stp>24000</stp>
        <stp>市場コード</stp>
        <tr r="B1" s="1"/>
        <tr r="A1" s="1"/>
      </tp>
      <tp>
        <v>0</v>
        <stp/>
        <stp>OPBOARD</stp>
        <stp>N225op</stp>
        <stp>0</stp>
        <stp>C</stp>
        <stp>24000</stp>
        <stp>成行買気配数量</stp>
        <tr r="B125" s="1"/>
        <tr r="A125" s="1"/>
      </tp>
      <tp>
        <v>0</v>
        <stp/>
        <stp>OPBOARD</stp>
        <stp>N225op</stp>
        <stp>0</stp>
        <stp>C</stp>
        <stp>24000</stp>
        <stp>成行売気配数量</stp>
        <tr r="B124" s="1"/>
        <tr r="A124" s="1"/>
      </tp>
      <tp>
        <v>0</v>
        <stp/>
        <stp>OPBOARD</stp>
        <stp>N225op</stp>
        <stp>0</stp>
        <stp>C</stp>
        <stp>23750</stp>
        <stp>成行買気配数量</stp>
        <tr r="F125" s="1"/>
      </tp>
      <tp>
        <v>0</v>
        <stp/>
        <stp>OPBOARD</stp>
        <stp>N225op</stp>
        <stp>0</stp>
        <stp>C</stp>
        <stp>23750</stp>
        <stp>成行売気配数量</stp>
        <tr r="F124" s="1"/>
      </tp>
      <tp>
        <v>0</v>
        <stp/>
        <stp>OPBOARD</stp>
        <stp>N225op</stp>
        <stp>0</stp>
        <stp>P</stp>
        <stp>23875</stp>
        <stp>成行買気配数量</stp>
        <tr r="D125" s="1"/>
      </tp>
      <tp>
        <v>0</v>
        <stp/>
        <stp>OPBOARD</stp>
        <stp>N225op</stp>
        <stp>0</stp>
        <stp>P</stp>
        <stp>23875</stp>
        <stp>成行売気配数量</stp>
        <tr r="D124" s="1"/>
      </tp>
      <tp>
        <v>0</v>
        <stp/>
        <stp>OPBOARD</stp>
        <stp>N225op</stp>
        <stp>0</stp>
        <stp>C</stp>
        <stp>24000</stp>
        <stp>出来高4</stp>
        <tr r="B57" s="1"/>
        <tr r="A57" s="1"/>
      </tp>
      <tp>
        <v>57</v>
        <stp/>
        <stp>OPBOARD</stp>
        <stp>N225op</stp>
        <stp>0</stp>
        <stp>C</stp>
        <stp>24000</stp>
        <stp>出来高5</stp>
        <tr r="B63" s="1"/>
        <tr r="A63" s="1"/>
      </tp>
      <tp>
        <v>45</v>
        <stp/>
        <stp>OPBOARD</stp>
        <stp>N225op</stp>
        <stp>0</stp>
        <stp>C</stp>
        <stp>24000</stp>
        <stp>出来高6</stp>
        <tr r="B69" s="1"/>
        <tr r="A69" s="1"/>
      </tp>
      <tp>
        <v>42</v>
        <stp/>
        <stp>OPBOARD</stp>
        <stp>N225op</stp>
        <stp>0</stp>
        <stp>C</stp>
        <stp>24000</stp>
        <stp>出来高7</stp>
        <tr r="A75" s="1"/>
        <tr r="B75" s="1"/>
      </tp>
      <tp>
        <v>0</v>
        <stp/>
        <stp>OPBOARD</stp>
        <stp>N225op</stp>
        <stp>0</stp>
        <stp>C</stp>
        <stp>24000</stp>
        <stp>出来高0</stp>
        <tr r="B33" s="1"/>
      </tp>
      <tp>
        <v>0</v>
        <stp/>
        <stp>OPBOARD</stp>
        <stp>N225op</stp>
        <stp>0</stp>
        <stp>C</stp>
        <stp>24000</stp>
        <stp>出来高1</stp>
        <tr r="A33" s="1"/>
        <tr r="B39" s="1"/>
        <tr r="A39" s="1"/>
      </tp>
      <tp>
        <v>0</v>
        <stp/>
        <stp>OPBOARD</stp>
        <stp>N225op</stp>
        <stp>0</stp>
        <stp>C</stp>
        <stp>24000</stp>
        <stp>出来高2</stp>
        <tr r="B45" s="1"/>
        <tr r="A45" s="1"/>
      </tp>
      <tp>
        <v>0</v>
        <stp/>
        <stp>OPBOARD</stp>
        <stp>N225op</stp>
        <stp>0</stp>
        <stp>C</stp>
        <stp>24000</stp>
        <stp>出来高3</stp>
        <tr r="A51" s="1"/>
        <tr r="B51" s="1"/>
      </tp>
      <tp>
        <v>45</v>
        <stp/>
        <stp>OPBOARD</stp>
        <stp>N225op</stp>
        <stp>0</stp>
        <stp>C</stp>
        <stp>24000</stp>
        <stp>出来高8</stp>
        <tr r="B81" s="1"/>
        <tr r="A81" s="1"/>
      </tp>
      <tp>
        <v>0</v>
        <stp/>
        <stp>OPBOARD</stp>
        <stp>N225op</stp>
        <stp>0</stp>
        <stp>C</stp>
        <stp>24000</stp>
        <stp>出来高9</stp>
        <tr r="A87" s="1"/>
        <tr r="B87" s="1"/>
      </tp>
      <tp>
        <v>0</v>
        <stp/>
        <stp>OPBOARD</stp>
        <stp>N225op</stp>
        <stp>0</stp>
        <stp>P</stp>
        <stp>23750</stp>
        <stp>成行買気配数量</stp>
        <tr r="E125" s="1"/>
      </tp>
      <tp>
        <v>0</v>
        <stp/>
        <stp>OPBOARD</stp>
        <stp>N225op</stp>
        <stp>0</stp>
        <stp>P</stp>
        <stp>23750</stp>
        <stp>成行売気配数量</stp>
        <tr r="E124" s="1"/>
      </tp>
      <tp>
        <v>0</v>
        <stp/>
        <stp>OPBOARD</stp>
        <stp>N225op</stp>
        <stp>0</stp>
        <stp>C</stp>
        <stp>23750</stp>
        <stp>出来高3</stp>
        <tr r="F51" s="1"/>
      </tp>
      <tp>
        <v>0</v>
        <stp/>
        <stp>OPBOARD</stp>
        <stp>N225op</stp>
        <stp>0</stp>
        <stp>P</stp>
        <stp>23750</stp>
        <stp>出来高3</stp>
        <tr r="E51" s="1"/>
      </tp>
      <tp>
        <v>0</v>
        <stp/>
        <stp>OPBOARD</stp>
        <stp>N225op</stp>
        <stp>0</stp>
        <stp>C</stp>
        <stp>23750</stp>
        <stp>出来高2</stp>
        <tr r="F45" s="1"/>
      </tp>
      <tp>
        <v>0</v>
        <stp/>
        <stp>OPBOARD</stp>
        <stp>N225op</stp>
        <stp>0</stp>
        <stp>P</stp>
        <stp>23750</stp>
        <stp>出来高2</stp>
        <tr r="E45" s="1"/>
      </tp>
      <tp>
        <v>0</v>
        <stp/>
        <stp>OPBOARD</stp>
        <stp>N225op</stp>
        <stp>0</stp>
        <stp>C</stp>
        <stp>23750</stp>
        <stp>出来高1</stp>
        <tr r="F39" s="1"/>
      </tp>
      <tp>
        <v>0</v>
        <stp/>
        <stp>OPBOARD</stp>
        <stp>N225op</stp>
        <stp>0</stp>
        <stp>P</stp>
        <stp>23750</stp>
        <stp>出来高1</stp>
        <tr r="E39" s="1"/>
      </tp>
      <tp>
        <v>0</v>
        <stp/>
        <stp>OPBOARD</stp>
        <stp>N225op</stp>
        <stp>0</stp>
        <stp>C</stp>
        <stp>23750</stp>
        <stp>出来高0</stp>
        <tr r="F33" s="1"/>
      </tp>
      <tp>
        <v>0</v>
        <stp/>
        <stp>OPBOARD</stp>
        <stp>N225op</stp>
        <stp>0</stp>
        <stp>P</stp>
        <stp>23750</stp>
        <stp>出来高0</stp>
        <tr r="E33" s="1"/>
      </tp>
      <tp>
        <v>3</v>
        <stp/>
        <stp>OPBOARD</stp>
        <stp>N225op</stp>
        <stp>0</stp>
        <stp>C</stp>
        <stp>23750</stp>
        <stp>出来高7</stp>
        <tr r="F75" s="1"/>
      </tp>
      <tp>
        <v>0</v>
        <stp/>
        <stp>OPBOARD</stp>
        <stp>N225op</stp>
        <stp>0</stp>
        <stp>P</stp>
        <stp>23750</stp>
        <stp>出来高7</stp>
        <tr r="E75" s="1"/>
      </tp>
      <tp>
        <v>23</v>
        <stp/>
        <stp>OPBOARD</stp>
        <stp>N225op</stp>
        <stp>0</stp>
        <stp>C</stp>
        <stp>23750</stp>
        <stp>出来高6</stp>
        <tr r="F69" s="1"/>
      </tp>
      <tp>
        <v>0</v>
        <stp/>
        <stp>OPBOARD</stp>
        <stp>N225op</stp>
        <stp>0</stp>
        <stp>P</stp>
        <stp>23750</stp>
        <stp>出来高6</stp>
        <tr r="E69" s="1"/>
      </tp>
      <tp>
        <v>22</v>
        <stp/>
        <stp>OPBOARD</stp>
        <stp>N225op</stp>
        <stp>0</stp>
        <stp>C</stp>
        <stp>23750</stp>
        <stp>出来高5</stp>
        <tr r="F63" s="1"/>
      </tp>
      <tp>
        <v>0</v>
        <stp/>
        <stp>OPBOARD</stp>
        <stp>N225op</stp>
        <stp>0</stp>
        <stp>P</stp>
        <stp>23750</stp>
        <stp>出来高5</stp>
        <tr r="E63" s="1"/>
      </tp>
      <tp>
        <v>0</v>
        <stp/>
        <stp>OPBOARD</stp>
        <stp>N225op</stp>
        <stp>0</stp>
        <stp>C</stp>
        <stp>23750</stp>
        <stp>出来高4</stp>
        <tr r="F57" s="1"/>
      </tp>
      <tp>
        <v>0</v>
        <stp/>
        <stp>OPBOARD</stp>
        <stp>N225op</stp>
        <stp>0</stp>
        <stp>P</stp>
        <stp>23750</stp>
        <stp>出来高4</stp>
        <tr r="E57" s="1"/>
      </tp>
      <tp>
        <v>17</v>
        <stp/>
        <stp>OPBOARD</stp>
        <stp>N225op</stp>
        <stp>0</stp>
        <stp>C</stp>
        <stp>23750</stp>
        <stp>出来高9</stp>
        <tr r="F87" s="1"/>
      </tp>
      <tp>
        <v>0</v>
        <stp/>
        <stp>OPBOARD</stp>
        <stp>N225op</stp>
        <stp>0</stp>
        <stp>P</stp>
        <stp>23750</stp>
        <stp>出来高9</stp>
        <tr r="E87" s="1"/>
      </tp>
      <tp>
        <v>29</v>
        <stp/>
        <stp>OPBOARD</stp>
        <stp>N225op</stp>
        <stp>0</stp>
        <stp>C</stp>
        <stp>23750</stp>
        <stp>出来高8</stp>
        <tr r="F81" s="1"/>
      </tp>
      <tp>
        <v>0</v>
        <stp/>
        <stp>OPBOARD</stp>
        <stp>N225op</stp>
        <stp>0</stp>
        <stp>P</stp>
        <stp>23750</stp>
        <stp>出来高8</stp>
        <tr r="E81" s="1"/>
      </tp>
      <tp>
        <v>0</v>
        <stp/>
        <stp>OPBOARD</stp>
        <stp>N225op</stp>
        <stp>0</stp>
        <stp>C</stp>
        <stp>23875</stp>
        <stp>出来高3</stp>
        <tr r="C51" s="1"/>
      </tp>
      <tp>
        <v>0</v>
        <stp/>
        <stp>OPBOARD</stp>
        <stp>N225op</stp>
        <stp>0</stp>
        <stp>P</stp>
        <stp>23875</stp>
        <stp>出来高3</stp>
        <tr r="D51" s="1"/>
      </tp>
      <tp>
        <v>0</v>
        <stp/>
        <stp>OPBOARD</stp>
        <stp>N225op</stp>
        <stp>0</stp>
        <stp>C</stp>
        <stp>23875</stp>
        <stp>出来高2</stp>
        <tr r="C45" s="1"/>
      </tp>
      <tp>
        <v>0</v>
        <stp/>
        <stp>OPBOARD</stp>
        <stp>N225op</stp>
        <stp>0</stp>
        <stp>P</stp>
        <stp>23875</stp>
        <stp>出来高2</stp>
        <tr r="D45" s="1"/>
      </tp>
      <tp>
        <v>0</v>
        <stp/>
        <stp>OPBOARD</stp>
        <stp>N225op</stp>
        <stp>0</stp>
        <stp>C</stp>
        <stp>23875</stp>
        <stp>出来高1</stp>
        <tr r="C39" s="1"/>
      </tp>
      <tp>
        <v>0</v>
        <stp/>
        <stp>OPBOARD</stp>
        <stp>N225op</stp>
        <stp>0</stp>
        <stp>P</stp>
        <stp>23875</stp>
        <stp>出来高1</stp>
        <tr r="D39" s="1"/>
      </tp>
      <tp>
        <v>0</v>
        <stp/>
        <stp>OPBOARD</stp>
        <stp>N225op</stp>
        <stp>0</stp>
        <stp>C</stp>
        <stp>23875</stp>
        <stp>出来高0</stp>
        <tr r="C33" s="1"/>
      </tp>
      <tp>
        <v>0</v>
        <stp/>
        <stp>OPBOARD</stp>
        <stp>N225op</stp>
        <stp>0</stp>
        <stp>P</stp>
        <stp>23875</stp>
        <stp>出来高0</stp>
        <tr r="D33" s="1"/>
      </tp>
      <tp>
        <v>35</v>
        <stp/>
        <stp>OPBOARD</stp>
        <stp>N225op</stp>
        <stp>0</stp>
        <stp>C</stp>
        <stp>23875</stp>
        <stp>出来高7</stp>
        <tr r="C75" s="1"/>
      </tp>
      <tp>
        <v>0</v>
        <stp/>
        <stp>OPBOARD</stp>
        <stp>N225op</stp>
        <stp>0</stp>
        <stp>P</stp>
        <stp>23875</stp>
        <stp>出来高7</stp>
        <tr r="D75" s="1"/>
      </tp>
      <tp>
        <v>24</v>
        <stp/>
        <stp>OPBOARD</stp>
        <stp>N225op</stp>
        <stp>0</stp>
        <stp>C</stp>
        <stp>23875</stp>
        <stp>出来高6</stp>
        <tr r="C69" s="1"/>
      </tp>
      <tp>
        <v>0</v>
        <stp/>
        <stp>OPBOARD</stp>
        <stp>N225op</stp>
        <stp>0</stp>
        <stp>P</stp>
        <stp>23875</stp>
        <stp>出来高6</stp>
        <tr r="D69" s="1"/>
      </tp>
      <tp>
        <v>5</v>
        <stp/>
        <stp>OPBOARD</stp>
        <stp>N225op</stp>
        <stp>0</stp>
        <stp>C</stp>
        <stp>23875</stp>
        <stp>出来高5</stp>
        <tr r="C63" s="1"/>
      </tp>
      <tp>
        <v>0</v>
        <stp/>
        <stp>OPBOARD</stp>
        <stp>N225op</stp>
        <stp>0</stp>
        <stp>P</stp>
        <stp>23875</stp>
        <stp>出来高5</stp>
        <tr r="D63" s="1"/>
      </tp>
      <tp>
        <v>1</v>
        <stp/>
        <stp>OPBOARD</stp>
        <stp>N225op</stp>
        <stp>0</stp>
        <stp>C</stp>
        <stp>23875</stp>
        <stp>出来高4</stp>
        <tr r="C57" s="1"/>
      </tp>
      <tp>
        <v>0</v>
        <stp/>
        <stp>OPBOARD</stp>
        <stp>N225op</stp>
        <stp>0</stp>
        <stp>P</stp>
        <stp>23875</stp>
        <stp>出来高4</stp>
        <tr r="D57" s="1"/>
      </tp>
      <tp>
        <v>1</v>
        <stp/>
        <stp>OPBOARD</stp>
        <stp>N225op</stp>
        <stp>0</stp>
        <stp>C</stp>
        <stp>23875</stp>
        <stp>出来高9</stp>
        <tr r="C87" s="1"/>
      </tp>
      <tp>
        <v>0</v>
        <stp/>
        <stp>OPBOARD</stp>
        <stp>N225op</stp>
        <stp>0</stp>
        <stp>P</stp>
        <stp>23875</stp>
        <stp>出来高9</stp>
        <tr r="D87" s="1"/>
      </tp>
      <tp>
        <v>16</v>
        <stp/>
        <stp>OPBOARD</stp>
        <stp>N225op</stp>
        <stp>0</stp>
        <stp>C</stp>
        <stp>23875</stp>
        <stp>出来高8</stp>
        <tr r="C81" s="1"/>
      </tp>
      <tp>
        <v>0</v>
        <stp/>
        <stp>OPBOARD</stp>
        <stp>N225op</stp>
        <stp>0</stp>
        <stp>P</stp>
        <stp>23875</stp>
        <stp>出来高8</stp>
        <tr r="D81" s="1"/>
      </tp>
      <tp>
        <v>0</v>
        <stp/>
        <stp>OPBOARD</stp>
        <stp>N225op</stp>
        <stp>0</stp>
        <stp>P</stp>
        <stp>23750</stp>
        <stp>気配数量UNDER</stp>
        <tr r="E3" s="1"/>
      </tp>
      <tp>
        <v>0</v>
        <stp/>
        <stp>OPBOARD</stp>
        <stp>N225op</stp>
        <stp>0</stp>
        <stp>C</stp>
        <stp>23750</stp>
        <stp>気配数量UNDER</stp>
        <tr r="F3" s="1"/>
      </tp>
      <tp>
        <v>0</v>
        <stp/>
        <stp>OPBOARD</stp>
        <stp>N225op</stp>
        <stp>0</stp>
        <stp>C</stp>
        <stp>24000</stp>
        <stp>気配数量UNDER</stp>
        <tr r="B3" s="1"/>
        <tr r="A3" s="1"/>
      </tp>
      <tp>
        <v>0</v>
        <stp/>
        <stp>OPBOARD</stp>
        <stp>N225op</stp>
        <stp>0</stp>
        <stp>P</stp>
        <stp>23875</stp>
        <stp>気配数量UNDER</stp>
        <tr r="D3" s="1"/>
      </tp>
      <tp>
        <v>0</v>
        <stp/>
        <stp>OPBOARD</stp>
        <stp>N225op</stp>
        <stp>0</stp>
        <stp>C</stp>
        <stp>23875</stp>
        <stp>気配数量UNDER</stp>
        <tr r="C3" s="1"/>
      </tp>
      <tp>
        <v>0</v>
        <stp/>
        <stp>OPBOARD</stp>
        <stp>N225op</stp>
        <stp>0</stp>
        <stp>P</stp>
        <stp>23875</stp>
        <stp>出来高-4</stp>
        <tr r="D9" s="1"/>
      </tp>
      <tp>
        <v>0</v>
        <stp/>
        <stp>OPBOARD</stp>
        <stp>N225op</stp>
        <stp>0</stp>
        <stp>P</stp>
        <stp>23875</stp>
        <stp>出来高-3</stp>
        <tr r="D15" s="1"/>
      </tp>
      <tp>
        <v>0</v>
        <stp/>
        <stp>OPBOARD</stp>
        <stp>N225op</stp>
        <stp>0</stp>
        <stp>P</stp>
        <stp>23875</stp>
        <stp>出来高-2</stp>
        <tr r="D21" s="1"/>
      </tp>
      <tp>
        <v>0</v>
        <stp/>
        <stp>OPBOARD</stp>
        <stp>N225op</stp>
        <stp>0</stp>
        <stp>P</stp>
        <stp>23875</stp>
        <stp>出来高-1</stp>
        <tr r="D27" s="1"/>
      </tp>
      <tp>
        <v>0</v>
        <stp/>
        <stp>OPBOARD</stp>
        <stp>N225op</stp>
        <stp>0</stp>
        <stp>C</stp>
        <stp>23875</stp>
        <stp>出来高-4</stp>
        <tr r="C9" s="1"/>
      </tp>
      <tp>
        <v>0</v>
        <stp/>
        <stp>OPBOARD</stp>
        <stp>N225op</stp>
        <stp>0</stp>
        <stp>C</stp>
        <stp>23875</stp>
        <stp>出来高-1</stp>
        <tr r="C27" s="1"/>
      </tp>
      <tp>
        <v>0</v>
        <stp/>
        <stp>OPBOARD</stp>
        <stp>N225op</stp>
        <stp>0</stp>
        <stp>C</stp>
        <stp>23875</stp>
        <stp>出来高-2</stp>
        <tr r="C21" s="1"/>
      </tp>
      <tp>
        <v>0</v>
        <stp/>
        <stp>OPBOARD</stp>
        <stp>N225op</stp>
        <stp>0</stp>
        <stp>C</stp>
        <stp>23875</stp>
        <stp>出来高-3</stp>
        <tr r="C15" s="1"/>
      </tp>
      <tp>
        <v>0</v>
        <stp/>
        <stp>OPBOARD</stp>
        <stp>N225op</stp>
        <stp>0</stp>
        <stp>P</stp>
        <stp>23875</stp>
        <stp>出来高15</stp>
        <tr r="D123" s="1"/>
      </tp>
      <tp>
        <v>0</v>
        <stp/>
        <stp>OPBOARD</stp>
        <stp>N225op</stp>
        <stp>0</stp>
        <stp>P</stp>
        <stp>23875</stp>
        <stp>出来高14</stp>
        <tr r="D117" s="1"/>
      </tp>
      <tp>
        <v>0</v>
        <stp/>
        <stp>OPBOARD</stp>
        <stp>N225op</stp>
        <stp>0</stp>
        <stp>P</stp>
        <stp>23875</stp>
        <stp>出来高13</stp>
        <tr r="D111" s="1"/>
      </tp>
      <tp>
        <v>0</v>
        <stp/>
        <stp>OPBOARD</stp>
        <stp>N225op</stp>
        <stp>0</stp>
        <stp>P</stp>
        <stp>23875</stp>
        <stp>出来高12</stp>
        <tr r="D105" s="1"/>
      </tp>
      <tp>
        <v>0</v>
        <stp/>
        <stp>OPBOARD</stp>
        <stp>N225op</stp>
        <stp>0</stp>
        <stp>P</stp>
        <stp>23875</stp>
        <stp>出来高11</stp>
        <tr r="D99" s="1"/>
      </tp>
      <tp>
        <v>0</v>
        <stp/>
        <stp>OPBOARD</stp>
        <stp>N225op</stp>
        <stp>0</stp>
        <stp>P</stp>
        <stp>23875</stp>
        <stp>出来高10</stp>
        <tr r="D93" s="1"/>
      </tp>
      <tp>
        <v>0</v>
        <stp/>
        <stp>OPBOARD</stp>
        <stp>N225op</stp>
        <stp>0</stp>
        <stp>C</stp>
        <stp>23875</stp>
        <stp>出来高14</stp>
        <tr r="C117" s="1"/>
      </tp>
      <tp>
        <v>0</v>
        <stp/>
        <stp>OPBOARD</stp>
        <stp>N225op</stp>
        <stp>0</stp>
        <stp>C</stp>
        <stp>23875</stp>
        <stp>出来高15</stp>
        <tr r="C123" s="1"/>
      </tp>
      <tp>
        <v>0</v>
        <stp/>
        <stp>OPBOARD</stp>
        <stp>N225op</stp>
        <stp>0</stp>
        <stp>C</stp>
        <stp>23875</stp>
        <stp>出来高10</stp>
        <tr r="C93" s="1"/>
      </tp>
      <tp>
        <v>0</v>
        <stp/>
        <stp>OPBOARD</stp>
        <stp>N225op</stp>
        <stp>0</stp>
        <stp>C</stp>
        <stp>23875</stp>
        <stp>出来高11</stp>
        <tr r="C99" s="1"/>
      </tp>
      <tp>
        <v>0</v>
        <stp/>
        <stp>OPBOARD</stp>
        <stp>N225op</stp>
        <stp>0</stp>
        <stp>C</stp>
        <stp>23875</stp>
        <stp>出来高12</stp>
        <tr r="C105" s="1"/>
      </tp>
      <tp>
        <v>0</v>
        <stp/>
        <stp>OPBOARD</stp>
        <stp>N225op</stp>
        <stp>0</stp>
        <stp>C</stp>
        <stp>23875</stp>
        <stp>出来高13</stp>
        <tr r="C111" s="1"/>
      </tp>
      <tp>
        <v>0</v>
        <stp/>
        <stp>OPBOARD</stp>
        <stp>N225op</stp>
        <stp>0</stp>
        <stp>C</stp>
        <stp>24000</stp>
        <stp>出来高-4</stp>
        <tr r="B9" s="1"/>
        <tr r="A9" s="1"/>
      </tp>
      <tp>
        <v>0</v>
        <stp/>
        <stp>OPBOARD</stp>
        <stp>N225op</stp>
        <stp>0</stp>
        <stp>C</stp>
        <stp>24000</stp>
        <stp>出来高-1</stp>
        <tr r="A27" s="1"/>
        <tr r="B27" s="1"/>
      </tp>
      <tp>
        <v>0</v>
        <stp/>
        <stp>OPBOARD</stp>
        <stp>N225op</stp>
        <stp>0</stp>
        <stp>C</stp>
        <stp>24000</stp>
        <stp>出来高-2</stp>
        <tr r="B21" s="1"/>
        <tr r="A21" s="1"/>
      </tp>
      <tp>
        <v>0</v>
        <stp/>
        <stp>OPBOARD</stp>
        <stp>N225op</stp>
        <stp>0</stp>
        <stp>C</stp>
        <stp>24000</stp>
        <stp>出来高-3</stp>
        <tr r="B15" s="1"/>
        <tr r="A15" s="1"/>
      </tp>
      <tp>
        <v>0</v>
        <stp/>
        <stp>OPBOARD</stp>
        <stp>N225op</stp>
        <stp>0</stp>
        <stp>P</stp>
        <stp>23750</stp>
        <stp>出来高-1</stp>
        <tr r="E27" s="1"/>
      </tp>
      <tp>
        <v>0</v>
        <stp/>
        <stp>OPBOARD</stp>
        <stp>N225op</stp>
        <stp>0</stp>
        <stp>P</stp>
        <stp>23750</stp>
        <stp>出来高-2</stp>
        <tr r="E21" s="1"/>
      </tp>
      <tp>
        <v>0</v>
        <stp/>
        <stp>OPBOARD</stp>
        <stp>N225op</stp>
        <stp>0</stp>
        <stp>P</stp>
        <stp>23750</stp>
        <stp>出来高-3</stp>
        <tr r="E15" s="1"/>
      </tp>
      <tp>
        <v>0</v>
        <stp/>
        <stp>OPBOARD</stp>
        <stp>N225op</stp>
        <stp>0</stp>
        <stp>P</stp>
        <stp>23750</stp>
        <stp>出来高-4</stp>
        <tr r="E9" s="1"/>
      </tp>
      <tp>
        <v>0</v>
        <stp/>
        <stp>OPBOARD</stp>
        <stp>N225op</stp>
        <stp>0</stp>
        <stp>C</stp>
        <stp>23750</stp>
        <stp>出来高-3</stp>
        <tr r="F15" s="1"/>
      </tp>
      <tp>
        <v>0</v>
        <stp/>
        <stp>OPBOARD</stp>
        <stp>N225op</stp>
        <stp>0</stp>
        <stp>C</stp>
        <stp>23750</stp>
        <stp>出来高-2</stp>
        <tr r="F21" s="1"/>
      </tp>
      <tp>
        <v>0</v>
        <stp/>
        <stp>OPBOARD</stp>
        <stp>N225op</stp>
        <stp>0</stp>
        <stp>C</stp>
        <stp>23750</stp>
        <stp>出来高-1</stp>
        <tr r="F27" s="1"/>
      </tp>
      <tp>
        <v>0</v>
        <stp/>
        <stp>OPBOARD</stp>
        <stp>N225op</stp>
        <stp>0</stp>
        <stp>C</stp>
        <stp>23750</stp>
        <stp>出来高-4</stp>
        <tr r="F9" s="1"/>
      </tp>
      <tp>
        <v>0</v>
        <stp/>
        <stp>OPBOARD</stp>
        <stp>N225op</stp>
        <stp>0</stp>
        <stp>P</stp>
        <stp>23750</stp>
        <stp>出来高10</stp>
        <tr r="E93" s="1"/>
      </tp>
      <tp>
        <v>0</v>
        <stp/>
        <stp>OPBOARD</stp>
        <stp>N225op</stp>
        <stp>0</stp>
        <stp>P</stp>
        <stp>23750</stp>
        <stp>出来高11</stp>
        <tr r="E99" s="1"/>
      </tp>
      <tp>
        <v>0</v>
        <stp/>
        <stp>OPBOARD</stp>
        <stp>N225op</stp>
        <stp>0</stp>
        <stp>P</stp>
        <stp>23750</stp>
        <stp>出来高12</stp>
        <tr r="E105" s="1"/>
      </tp>
      <tp>
        <v>0</v>
        <stp/>
        <stp>OPBOARD</stp>
        <stp>N225op</stp>
        <stp>0</stp>
        <stp>P</stp>
        <stp>23750</stp>
        <stp>出来高13</stp>
        <tr r="E111" s="1"/>
      </tp>
      <tp>
        <v>0</v>
        <stp/>
        <stp>OPBOARD</stp>
        <stp>N225op</stp>
        <stp>0</stp>
        <stp>P</stp>
        <stp>23750</stp>
        <stp>出来高14</stp>
        <tr r="E117" s="1"/>
      </tp>
      <tp>
        <v>0</v>
        <stp/>
        <stp>OPBOARD</stp>
        <stp>N225op</stp>
        <stp>0</stp>
        <stp>P</stp>
        <stp>23750</stp>
        <stp>出来高15</stp>
        <tr r="E123" s="1"/>
      </tp>
      <tp>
        <v>0</v>
        <stp/>
        <stp>OPBOARD</stp>
        <stp>N225op</stp>
        <stp>0</stp>
        <stp>C</stp>
        <stp>23750</stp>
        <stp>出来高13</stp>
        <tr r="F111" s="1"/>
      </tp>
      <tp>
        <v>0</v>
        <stp/>
        <stp>OPBOARD</stp>
        <stp>N225op</stp>
        <stp>0</stp>
        <stp>C</stp>
        <stp>23750</stp>
        <stp>出来高12</stp>
        <tr r="F105" s="1"/>
      </tp>
      <tp>
        <v>0</v>
        <stp/>
        <stp>OPBOARD</stp>
        <stp>N225op</stp>
        <stp>0</stp>
        <stp>C</stp>
        <stp>23750</stp>
        <stp>出来高11</stp>
        <tr r="F99" s="1"/>
      </tp>
      <tp>
        <v>0</v>
        <stp/>
        <stp>OPBOARD</stp>
        <stp>N225op</stp>
        <stp>0</stp>
        <stp>C</stp>
        <stp>23750</stp>
        <stp>出来高10</stp>
        <tr r="F93" s="1"/>
      </tp>
      <tp>
        <v>0</v>
        <stp/>
        <stp>OPBOARD</stp>
        <stp>N225op</stp>
        <stp>0</stp>
        <stp>C</stp>
        <stp>23750</stp>
        <stp>出来高15</stp>
        <tr r="F123" s="1"/>
      </tp>
      <tp>
        <v>0</v>
        <stp/>
        <stp>OPBOARD</stp>
        <stp>N225op</stp>
        <stp>0</stp>
        <stp>C</stp>
        <stp>23750</stp>
        <stp>出来高14</stp>
        <tr r="F117" s="1"/>
      </tp>
      <tp>
        <v>0</v>
        <stp/>
        <stp>OPBOARD</stp>
        <stp>N225op</stp>
        <stp>0</stp>
        <stp>C</stp>
        <stp>24000</stp>
        <stp>出来高14</stp>
        <tr r="A117" s="1"/>
        <tr r="B117" s="1"/>
      </tp>
      <tp>
        <v>0</v>
        <stp/>
        <stp>OPBOARD</stp>
        <stp>N225op</stp>
        <stp>0</stp>
        <stp>C</stp>
        <stp>24000</stp>
        <stp>出来高15</stp>
        <tr r="A123" s="1"/>
        <tr r="B123" s="1"/>
      </tp>
      <tp>
        <v>0</v>
        <stp/>
        <stp>OPBOARD</stp>
        <stp>N225op</stp>
        <stp>0</stp>
        <stp>C</stp>
        <stp>24000</stp>
        <stp>出来高10</stp>
        <tr r="B93" s="1"/>
      </tp>
      <tp>
        <v>0</v>
        <stp/>
        <stp>OPBOARD</stp>
        <stp>N225op</stp>
        <stp>0</stp>
        <stp>C</stp>
        <stp>24000</stp>
        <stp>出来高11</stp>
        <tr r="A99" s="1"/>
        <tr r="B99" s="1"/>
        <tr r="A93" s="1"/>
      </tp>
      <tp>
        <v>0</v>
        <stp/>
        <stp>OPBOARD</stp>
        <stp>N225op</stp>
        <stp>0</stp>
        <stp>C</stp>
        <stp>24000</stp>
        <stp>出来高12</stp>
        <tr r="B105" s="1"/>
        <tr r="A105" s="1"/>
      </tp>
      <tp>
        <v>0</v>
        <stp/>
        <stp>OPBOARD</stp>
        <stp>N225op</stp>
        <stp>0</stp>
        <stp>C</stp>
        <stp>24000</stp>
        <stp>出来高13</stp>
        <tr r="A111" s="1"/>
        <tr r="B111" s="1"/>
      </tp>
      <tp>
        <v>0</v>
        <stp/>
        <stp>OPBOARD</stp>
        <stp>N225op</stp>
        <stp>0</stp>
        <stp>C</stp>
        <stp>23875</stp>
        <stp>売気配数量6</stp>
        <tr r="C64" s="1"/>
      </tp>
      <tp>
        <v>0</v>
        <stp/>
        <stp>OPBOARD</stp>
        <stp>N225op</stp>
        <stp>0</stp>
        <stp>C</stp>
        <stp>23875</stp>
        <stp>売気配数量7</stp>
        <tr r="C70" s="1"/>
      </tp>
      <tp>
        <v>103</v>
        <stp/>
        <stp>OPBOARD</stp>
        <stp>N225op</stp>
        <stp>0</stp>
        <stp>C</stp>
        <stp>23875</stp>
        <stp>売気配数量4</stp>
        <tr r="C52" s="1"/>
      </tp>
      <tp>
        <v>4</v>
        <stp/>
        <stp>OPBOARD</stp>
        <stp>N225op</stp>
        <stp>0</stp>
        <stp>C</stp>
        <stp>23875</stp>
        <stp>売気配数量5</stp>
        <tr r="C58" s="1"/>
      </tp>
      <tp>
        <v>133</v>
        <stp/>
        <stp>OPBOARD</stp>
        <stp>N225op</stp>
        <stp>0</stp>
        <stp>C</stp>
        <stp>23875</stp>
        <stp>売気配数量2</stp>
        <tr r="C40" s="1"/>
      </tp>
      <tp>
        <v>134</v>
        <stp/>
        <stp>OPBOARD</stp>
        <stp>N225op</stp>
        <stp>0</stp>
        <stp>C</stp>
        <stp>23875</stp>
        <stp>売気配数量3</stp>
        <tr r="C46" s="1"/>
      </tp>
      <tp>
        <v>39</v>
        <stp/>
        <stp>OPBOARD</stp>
        <stp>N225op</stp>
        <stp>0</stp>
        <stp>C</stp>
        <stp>23875</stp>
        <stp>売気配数量0</stp>
        <tr r="C28" s="1"/>
      </tp>
      <tp>
        <v>101</v>
        <stp/>
        <stp>OPBOARD</stp>
        <stp>N225op</stp>
        <stp>0</stp>
        <stp>C</stp>
        <stp>23875</stp>
        <stp>売気配数量1</stp>
        <tr r="C34" s="1"/>
      </tp>
      <tp>
        <v>0</v>
        <stp/>
        <stp>OPBOARD</stp>
        <stp>N225op</stp>
        <stp>0</stp>
        <stp>C</stp>
        <stp>23875</stp>
        <stp>売気配数量8</stp>
        <tr r="C76" s="1"/>
      </tp>
      <tp>
        <v>0</v>
        <stp/>
        <stp>OPBOARD</stp>
        <stp>N225op</stp>
        <stp>0</stp>
        <stp>C</stp>
        <stp>23875</stp>
        <stp>売気配数量9</stp>
        <tr r="C82" s="1"/>
      </tp>
      <tp>
        <v>103</v>
        <stp/>
        <stp>OPBOARD</stp>
        <stp>N225op</stp>
        <stp>0</stp>
        <stp>C</stp>
        <stp>23750</stp>
        <stp>売気配数量4</stp>
        <tr r="F52" s="1"/>
      </tp>
      <tp>
        <v>65</v>
        <stp/>
        <stp>OPBOARD</stp>
        <stp>N225op</stp>
        <stp>0</stp>
        <stp>C</stp>
        <stp>23750</stp>
        <stp>売気配数量5</stp>
        <tr r="F58" s="1"/>
      </tp>
      <tp>
        <v>0</v>
        <stp/>
        <stp>OPBOARD</stp>
        <stp>N225op</stp>
        <stp>0</stp>
        <stp>C</stp>
        <stp>23750</stp>
        <stp>売気配数量6</stp>
        <tr r="F64" s="1"/>
      </tp>
      <tp>
        <v>0</v>
        <stp/>
        <stp>OPBOARD</stp>
        <stp>N225op</stp>
        <stp>0</stp>
        <stp>C</stp>
        <stp>23750</stp>
        <stp>売気配数量7</stp>
        <tr r="F70" s="1"/>
      </tp>
      <tp>
        <v>30</v>
        <stp/>
        <stp>OPBOARD</stp>
        <stp>N225op</stp>
        <stp>0</stp>
        <stp>C</stp>
        <stp>23750</stp>
        <stp>売気配数量0</stp>
        <tr r="F28" s="1"/>
      </tp>
      <tp>
        <v>95</v>
        <stp/>
        <stp>OPBOARD</stp>
        <stp>N225op</stp>
        <stp>0</stp>
        <stp>C</stp>
        <stp>23750</stp>
        <stp>売気配数量1</stp>
        <tr r="F34" s="1"/>
      </tp>
      <tp>
        <v>149</v>
        <stp/>
        <stp>OPBOARD</stp>
        <stp>N225op</stp>
        <stp>0</stp>
        <stp>C</stp>
        <stp>23750</stp>
        <stp>売気配数量2</stp>
        <tr r="F40" s="1"/>
      </tp>
      <tp>
        <v>129</v>
        <stp/>
        <stp>OPBOARD</stp>
        <stp>N225op</stp>
        <stp>0</stp>
        <stp>C</stp>
        <stp>23750</stp>
        <stp>売気配数量3</stp>
        <tr r="F46" s="1"/>
      </tp>
      <tp>
        <v>0</v>
        <stp/>
        <stp>OPBOARD</stp>
        <stp>N225op</stp>
        <stp>0</stp>
        <stp>C</stp>
        <stp>23750</stp>
        <stp>売気配数量8</stp>
        <tr r="F76" s="1"/>
      </tp>
      <tp>
        <v>0</v>
        <stp/>
        <stp>OPBOARD</stp>
        <stp>N225op</stp>
        <stp>0</stp>
        <stp>C</stp>
        <stp>23750</stp>
        <stp>売気配数量9</stp>
        <tr r="F82" s="1"/>
      </tp>
      <tp>
        <v>0</v>
        <stp/>
        <stp>OPBOARD</stp>
        <stp>N225op</stp>
        <stp>0</stp>
        <stp>P</stp>
        <stp>23875</stp>
        <stp>売気配数量6</stp>
        <tr r="D64" s="1"/>
      </tp>
      <tp>
        <v>0</v>
        <stp/>
        <stp>OPBOARD</stp>
        <stp>N225op</stp>
        <stp>0</stp>
        <stp>P</stp>
        <stp>23875</stp>
        <stp>売気配数量7</stp>
        <tr r="D70" s="1"/>
      </tp>
      <tp>
        <v>0</v>
        <stp/>
        <stp>OPBOARD</stp>
        <stp>N225op</stp>
        <stp>0</stp>
        <stp>P</stp>
        <stp>23875</stp>
        <stp>売気配数量4</stp>
        <tr r="D52" s="1"/>
      </tp>
      <tp>
        <v>0</v>
        <stp/>
        <stp>OPBOARD</stp>
        <stp>N225op</stp>
        <stp>0</stp>
        <stp>P</stp>
        <stp>23875</stp>
        <stp>売気配数量5</stp>
        <tr r="D58" s="1"/>
      </tp>
      <tp>
        <v>0</v>
        <stp/>
        <stp>OPBOARD</stp>
        <stp>N225op</stp>
        <stp>0</stp>
        <stp>P</stp>
        <stp>23875</stp>
        <stp>売気配数量2</stp>
        <tr r="D40" s="1"/>
      </tp>
      <tp>
        <v>0</v>
        <stp/>
        <stp>OPBOARD</stp>
        <stp>N225op</stp>
        <stp>0</stp>
        <stp>P</stp>
        <stp>23875</stp>
        <stp>売気配数量3</stp>
        <tr r="D46" s="1"/>
      </tp>
      <tp>
        <v>0</v>
        <stp/>
        <stp>OPBOARD</stp>
        <stp>N225op</stp>
        <stp>0</stp>
        <stp>P</stp>
        <stp>23875</stp>
        <stp>売気配数量0</stp>
        <tr r="D28" s="1"/>
      </tp>
      <tp>
        <v>0</v>
        <stp/>
        <stp>OPBOARD</stp>
        <stp>N225op</stp>
        <stp>0</stp>
        <stp>P</stp>
        <stp>23875</stp>
        <stp>売気配数量1</stp>
        <tr r="D34" s="1"/>
      </tp>
      <tp>
        <v>0</v>
        <stp/>
        <stp>OPBOARD</stp>
        <stp>N225op</stp>
        <stp>0</stp>
        <stp>P</stp>
        <stp>23875</stp>
        <stp>売気配数量8</stp>
        <tr r="D76" s="1"/>
      </tp>
      <tp>
        <v>0</v>
        <stp/>
        <stp>OPBOARD</stp>
        <stp>N225op</stp>
        <stp>0</stp>
        <stp>P</stp>
        <stp>23875</stp>
        <stp>売気配数量9</stp>
        <tr r="D82" s="1"/>
      </tp>
      <tp>
        <v>0</v>
        <stp/>
        <stp>OPBOARD</stp>
        <stp>N225op</stp>
        <stp>0</stp>
        <stp>P</stp>
        <stp>23750</stp>
        <stp>売気配数量4</stp>
        <tr r="E52" s="1"/>
      </tp>
      <tp>
        <v>0</v>
        <stp/>
        <stp>OPBOARD</stp>
        <stp>N225op</stp>
        <stp>0</stp>
        <stp>P</stp>
        <stp>23750</stp>
        <stp>売気配数量5</stp>
        <tr r="E58" s="1"/>
      </tp>
      <tp>
        <v>0</v>
        <stp/>
        <stp>OPBOARD</stp>
        <stp>N225op</stp>
        <stp>0</stp>
        <stp>P</stp>
        <stp>23750</stp>
        <stp>売気配数量6</stp>
        <tr r="E64" s="1"/>
      </tp>
      <tp>
        <v>0</v>
        <stp/>
        <stp>OPBOARD</stp>
        <stp>N225op</stp>
        <stp>0</stp>
        <stp>P</stp>
        <stp>23750</stp>
        <stp>売気配数量7</stp>
        <tr r="E70" s="1"/>
      </tp>
      <tp>
        <v>0</v>
        <stp/>
        <stp>OPBOARD</stp>
        <stp>N225op</stp>
        <stp>0</stp>
        <stp>P</stp>
        <stp>23750</stp>
        <stp>売気配数量0</stp>
        <tr r="E28" s="1"/>
      </tp>
      <tp>
        <v>0</v>
        <stp/>
        <stp>OPBOARD</stp>
        <stp>N225op</stp>
        <stp>0</stp>
        <stp>P</stp>
        <stp>23750</stp>
        <stp>売気配数量1</stp>
        <tr r="E34" s="1"/>
      </tp>
      <tp>
        <v>0</v>
        <stp/>
        <stp>OPBOARD</stp>
        <stp>N225op</stp>
        <stp>0</stp>
        <stp>P</stp>
        <stp>23750</stp>
        <stp>売気配数量2</stp>
        <tr r="E40" s="1"/>
      </tp>
      <tp>
        <v>0</v>
        <stp/>
        <stp>OPBOARD</stp>
        <stp>N225op</stp>
        <stp>0</stp>
        <stp>P</stp>
        <stp>23750</stp>
        <stp>売気配数量3</stp>
        <tr r="E46" s="1"/>
      </tp>
      <tp>
        <v>0</v>
        <stp/>
        <stp>OPBOARD</stp>
        <stp>N225op</stp>
        <stp>0</stp>
        <stp>P</stp>
        <stp>23750</stp>
        <stp>売気配数量8</stp>
        <tr r="E76" s="1"/>
      </tp>
      <tp>
        <v>0</v>
        <stp/>
        <stp>OPBOARD</stp>
        <stp>N225op</stp>
        <stp>0</stp>
        <stp>P</stp>
        <stp>23750</stp>
        <stp>売気配数量9</stp>
        <tr r="E82" s="1"/>
      </tp>
      <tp>
        <v>108</v>
        <stp/>
        <stp>OPBOARD</stp>
        <stp>N225op</stp>
        <stp>0</stp>
        <stp>C</stp>
        <stp>24000</stp>
        <stp>売気配数量1</stp>
        <tr r="A34" s="1"/>
        <tr r="B34" s="1"/>
        <tr r="A28" s="1"/>
      </tp>
      <tp>
        <v>70</v>
        <stp/>
        <stp>OPBOARD</stp>
        <stp>N225op</stp>
        <stp>0</stp>
        <stp>C</stp>
        <stp>24000</stp>
        <stp>売気配数量0</stp>
        <tr r="B28" s="1"/>
      </tp>
      <tp>
        <v>147</v>
        <stp/>
        <stp>OPBOARD</stp>
        <stp>N225op</stp>
        <stp>0</stp>
        <stp>C</stp>
        <stp>24000</stp>
        <stp>売気配数量3</stp>
        <tr r="A46" s="1"/>
        <tr r="B46" s="1"/>
      </tp>
      <tp>
        <v>137</v>
        <stp/>
        <stp>OPBOARD</stp>
        <stp>N225op</stp>
        <stp>0</stp>
        <stp>C</stp>
        <stp>24000</stp>
        <stp>売気配数量2</stp>
        <tr r="A40" s="1"/>
        <tr r="B40" s="1"/>
      </tp>
      <tp>
        <v>28</v>
        <stp/>
        <stp>OPBOARD</stp>
        <stp>N225op</stp>
        <stp>0</stp>
        <stp>C</stp>
        <stp>24000</stp>
        <stp>売気配数量5</stp>
        <tr r="A58" s="1"/>
        <tr r="B58" s="1"/>
      </tp>
      <tp>
        <v>104</v>
        <stp/>
        <stp>OPBOARD</stp>
        <stp>N225op</stp>
        <stp>0</stp>
        <stp>C</stp>
        <stp>24000</stp>
        <stp>売気配数量4</stp>
        <tr r="A52" s="1"/>
        <tr r="B52" s="1"/>
      </tp>
      <tp>
        <v>0</v>
        <stp/>
        <stp>OPBOARD</stp>
        <stp>N225op</stp>
        <stp>0</stp>
        <stp>C</stp>
        <stp>24000</stp>
        <stp>売気配数量7</stp>
        <tr r="A70" s="1"/>
        <tr r="B70" s="1"/>
      </tp>
      <tp>
        <v>0</v>
        <stp/>
        <stp>OPBOARD</stp>
        <stp>N225op</stp>
        <stp>0</stp>
        <stp>C</stp>
        <stp>24000</stp>
        <stp>売気配数量6</stp>
        <tr r="A64" s="1"/>
        <tr r="B64" s="1"/>
      </tp>
      <tp>
        <v>0</v>
        <stp/>
        <stp>OPBOARD</stp>
        <stp>N225op</stp>
        <stp>0</stp>
        <stp>C</stp>
        <stp>24000</stp>
        <stp>売気配数量9</stp>
        <tr r="B82" s="1"/>
        <tr r="A82" s="1"/>
      </tp>
      <tp>
        <v>0</v>
        <stp/>
        <stp>OPBOARD</stp>
        <stp>N225op</stp>
        <stp>0</stp>
        <stp>C</stp>
        <stp>24000</stp>
        <stp>売気配数量8</stp>
        <tr r="A76" s="1"/>
        <tr r="B76" s="1"/>
      </tp>
    </main>
  </volType>
</volType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volatileDependencies" Target="volatileDependenci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OPBOARD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39350-3AA3-4BEE-92A2-C1CD9DF74400}">
  <dimension ref="A1:I125"/>
  <sheetViews>
    <sheetView tabSelected="1" workbookViewId="0">
      <selection activeCell="I1" sqref="I1"/>
    </sheetView>
  </sheetViews>
  <sheetFormatPr defaultRowHeight="18.75" x14ac:dyDescent="0.4"/>
  <sheetData>
    <row r="1" spans="1:9" x14ac:dyDescent="0.4">
      <c r="A1" t="str">
        <f>[1]!OPBOARD(I1,"C","24000","市場コード","N225op")</f>
        <v>大証</v>
      </c>
      <c r="B1" t="str">
        <f>[1]!OPBOARD(I1,"C","24000","市場コード","N225op")</f>
        <v>大証</v>
      </c>
      <c r="C1" t="str">
        <f>[1]!OPBOARD(I1,"C","23875","市場コード","N225op")</f>
        <v>大証</v>
      </c>
      <c r="D1" t="str">
        <f>[1]!OPBOARD(I1,"P","23875","市場コード","N225op")</f>
        <v>大証</v>
      </c>
      <c r="E1" t="str">
        <f>[1]!OPBOARD(I1,"P","23750","市場コード","N225op")</f>
        <v>大証</v>
      </c>
      <c r="F1" t="str">
        <f>[1]!OPBOARD(I1,"C","23750","市場コード","N225op")</f>
        <v>大証</v>
      </c>
      <c r="H1" t="s">
        <v>0</v>
      </c>
      <c r="I1">
        <v>0</v>
      </c>
    </row>
    <row r="2" spans="1:9" x14ac:dyDescent="0.4">
      <c r="A2">
        <f>[1]!OPBOARD(I1,"C","24000","気配数量OVER","N225op")</f>
        <v>0</v>
      </c>
      <c r="B2">
        <f>[1]!OPBOARD(I1,"C","24000","気配数量OVER","N225op")</f>
        <v>0</v>
      </c>
      <c r="C2">
        <f>[1]!OPBOARD(I1,"C","23875","気配数量OVER","N225op")</f>
        <v>0</v>
      </c>
      <c r="D2">
        <f>[1]!OPBOARD(I1,"P","23875","気配数量OVER","N225op")</f>
        <v>0</v>
      </c>
      <c r="E2">
        <f>[1]!OPBOARD(I1,"P","23750","気配数量OVER","N225op")</f>
        <v>0</v>
      </c>
      <c r="F2">
        <f>[1]!OPBOARD(I1,"C","23750","気配数量OVER","N225op")</f>
        <v>0</v>
      </c>
    </row>
    <row r="3" spans="1:9" x14ac:dyDescent="0.4">
      <c r="A3">
        <f>[1]!OPBOARD(I1,"C","24000","気配数量UNDER","N225op")</f>
        <v>0</v>
      </c>
      <c r="B3">
        <f>[1]!OPBOARD(I1,"C","24000","気配数量UNDER","N225op")</f>
        <v>0</v>
      </c>
      <c r="C3">
        <f>[1]!OPBOARD(I1,"C","23875","気配数量UNDER","N225op")</f>
        <v>0</v>
      </c>
      <c r="D3">
        <f>[1]!OPBOARD(I1,"P","23875","気配数量UNDER","N225op")</f>
        <v>0</v>
      </c>
      <c r="E3">
        <f>[1]!OPBOARD(I1,"P","23750","気配数量UNDER","N225op")</f>
        <v>0</v>
      </c>
      <c r="F3">
        <f>[1]!OPBOARD(I1,"C","23750","気配数量UNDER","N225op")</f>
        <v>0</v>
      </c>
    </row>
    <row r="4" spans="1:9" x14ac:dyDescent="0.4">
      <c r="A4">
        <f>[1]!OPBOARD(I1,"C","24000","売気配数量-4","N225op")</f>
        <v>1</v>
      </c>
      <c r="B4">
        <f>[1]!OPBOARD(I1,"C","24000","売気配数量-4","N225op")</f>
        <v>1</v>
      </c>
      <c r="C4">
        <f>[1]!OPBOARD(I1,"C","23875","売気配数量-4","N225op")</f>
        <v>2</v>
      </c>
      <c r="D4">
        <f>[1]!OPBOARD(I1,"P","23875","売気配数量-4","N225op")</f>
        <v>0</v>
      </c>
      <c r="E4">
        <f>[1]!OPBOARD(I1,"P","23750","売気配数量-4","N225op")</f>
        <v>0</v>
      </c>
      <c r="F4">
        <f>[1]!OPBOARD(I1,"C","23750","売気配数量-4","N225op")</f>
        <v>5</v>
      </c>
    </row>
    <row r="5" spans="1:9" x14ac:dyDescent="0.4">
      <c r="A5">
        <f>[1]!OPBOARD(I1,"C","24000","買気配数量-4","N225op")</f>
        <v>0</v>
      </c>
      <c r="B5">
        <f>[1]!OPBOARD(I1,"C","24000","買気配数量-4","N225op")</f>
        <v>0</v>
      </c>
      <c r="C5">
        <f>[1]!OPBOARD(I1,"C","23875","買気配数量-4","N225op")</f>
        <v>0</v>
      </c>
      <c r="D5">
        <f>[1]!OPBOARD(I1,"P","23875","買気配数量-4","N225op")</f>
        <v>0</v>
      </c>
      <c r="E5">
        <f>[1]!OPBOARD(I1,"P","23750","買気配数量-4","N225op")</f>
        <v>0</v>
      </c>
      <c r="F5">
        <f>[1]!OPBOARD(I1,"C","23750","買気配数量-4","N225op")</f>
        <v>0</v>
      </c>
    </row>
    <row r="6" spans="1:9" x14ac:dyDescent="0.4">
      <c r="A6" t="str">
        <f>[1]!OPBOARD(I1,"C","24000","売気配フラグ-4","N225op")</f>
        <v/>
      </c>
      <c r="B6" t="str">
        <f>[1]!OPBOARD(I1,"C","24000","売気配フラグ-4","N225op")</f>
        <v/>
      </c>
      <c r="C6" t="str">
        <f>[1]!OPBOARD(I1,"C","23875","売気配フラグ-4","N225op")</f>
        <v/>
      </c>
      <c r="D6" t="str">
        <f>[1]!OPBOARD(I1,"P","23875","売気配フラグ-4","N225op")</f>
        <v/>
      </c>
      <c r="E6" t="str">
        <f>[1]!OPBOARD(I1,"P","23750","売気配フラグ-4","N225op")</f>
        <v/>
      </c>
      <c r="F6" t="str">
        <f>[1]!OPBOARD(I1,"C","23750","売気配フラグ-4","N225op")</f>
        <v/>
      </c>
    </row>
    <row r="7" spans="1:9" x14ac:dyDescent="0.4">
      <c r="A7" t="str">
        <f>[1]!OPBOARD(I1,"C","24000","買気配フラグ-4","N225op")</f>
        <v/>
      </c>
      <c r="B7" t="str">
        <f>[1]!OPBOARD(I1,"C","24000","買気配フラグ-4","N225op")</f>
        <v/>
      </c>
      <c r="C7" t="str">
        <f>[1]!OPBOARD(I1,"C","23875","買気配フラグ-4","N225op")</f>
        <v/>
      </c>
      <c r="D7" t="str">
        <f>[1]!OPBOARD(I1,"P","23875","買気配フラグ-4","N225op")</f>
        <v/>
      </c>
      <c r="E7" t="str">
        <f>[1]!OPBOARD(I1,"P","23750","買気配フラグ-4","N225op")</f>
        <v/>
      </c>
      <c r="F7" t="str">
        <f>[1]!OPBOARD(I1,"C","23750","買気配フラグ-4","N225op")</f>
        <v/>
      </c>
    </row>
    <row r="8" spans="1:9" x14ac:dyDescent="0.4">
      <c r="A8">
        <f>[1]!OPBOARD(I1,"C","24000","気配値-4","N225op")</f>
        <v>21</v>
      </c>
      <c r="B8">
        <f>[1]!OPBOARD(I1,"C","24000","気配値-4","N225op")</f>
        <v>21</v>
      </c>
      <c r="C8">
        <f>[1]!OPBOARD(I1,"C","23875","気配値-4","N225op")</f>
        <v>115</v>
      </c>
      <c r="D8">
        <f>[1]!OPBOARD(I1,"P","23875","気配値-4","N225op")</f>
        <v>0</v>
      </c>
      <c r="E8">
        <f>[1]!OPBOARD(I1,"P","23750","気配値-4","N225op")</f>
        <v>0</v>
      </c>
      <c r="F8">
        <f>[1]!OPBOARD(I1,"C","23750","気配値-4","N225op")</f>
        <v>26</v>
      </c>
    </row>
    <row r="9" spans="1:9" x14ac:dyDescent="0.4">
      <c r="A9">
        <f>[1]!OPBOARD(I1,"C","24000","出来高-4","N225op")</f>
        <v>0</v>
      </c>
      <c r="B9">
        <f>[1]!OPBOARD(I1,"C","24000","出来高-4","N225op")</f>
        <v>0</v>
      </c>
      <c r="C9">
        <f>[1]!OPBOARD(I1,"C","23875","出来高-4","N225op")</f>
        <v>0</v>
      </c>
      <c r="D9">
        <f>[1]!OPBOARD(I1,"P","23875","出来高-4","N225op")</f>
        <v>0</v>
      </c>
      <c r="E9">
        <f>[1]!OPBOARD(I1,"P","23750","出来高-4","N225op")</f>
        <v>0</v>
      </c>
      <c r="F9">
        <f>[1]!OPBOARD(I1,"C","23750","出来高-4","N225op")</f>
        <v>0</v>
      </c>
    </row>
    <row r="10" spans="1:9" x14ac:dyDescent="0.4">
      <c r="A10">
        <f>[1]!OPBOARD(I1,"C","24000","売気配数量-3","N225op")</f>
        <v>52</v>
      </c>
      <c r="B10">
        <f>[1]!OPBOARD(I1,"C","24000","売気配数量-3","N225op")</f>
        <v>52</v>
      </c>
      <c r="C10">
        <f>[1]!OPBOARD(I1,"C","23875","売気配数量-3","N225op")</f>
        <v>10</v>
      </c>
      <c r="D10">
        <f>[1]!OPBOARD(I1,"P","23875","売気配数量-3","N225op")</f>
        <v>0</v>
      </c>
      <c r="E10">
        <f>[1]!OPBOARD(I1,"P","23750","売気配数量-3","N225op")</f>
        <v>0</v>
      </c>
      <c r="F10">
        <f>[1]!OPBOARD(I1,"C","23750","売気配数量-3","N225op")</f>
        <v>1</v>
      </c>
    </row>
    <row r="11" spans="1:9" x14ac:dyDescent="0.4">
      <c r="A11">
        <f>[1]!OPBOARD(I1,"C","24000","買気配数量-3","N225op")</f>
        <v>0</v>
      </c>
      <c r="B11">
        <f>[1]!OPBOARD(I1,"C","24000","買気配数量-3","N225op")</f>
        <v>0</v>
      </c>
      <c r="C11">
        <f>[1]!OPBOARD(I1,"C","23875","買気配数量-3","N225op")</f>
        <v>0</v>
      </c>
      <c r="D11">
        <f>[1]!OPBOARD(I1,"P","23875","買気配数量-3","N225op")</f>
        <v>0</v>
      </c>
      <c r="E11">
        <f>[1]!OPBOARD(I1,"P","23750","買気配数量-3","N225op")</f>
        <v>0</v>
      </c>
      <c r="F11">
        <f>[1]!OPBOARD(I1,"C","23750","買気配数量-3","N225op")</f>
        <v>0</v>
      </c>
    </row>
    <row r="12" spans="1:9" x14ac:dyDescent="0.4">
      <c r="A12" t="str">
        <f>[1]!OPBOARD(I1,"C","24000","売気配フラグ-3","N225op")</f>
        <v/>
      </c>
      <c r="B12" t="str">
        <f>[1]!OPBOARD(I1,"C","24000","売気配フラグ-3","N225op")</f>
        <v/>
      </c>
      <c r="C12" t="str">
        <f>[1]!OPBOARD(I1,"C","23875","売気配フラグ-3","N225op")</f>
        <v/>
      </c>
      <c r="D12" t="str">
        <f>[1]!OPBOARD(I1,"P","23875","売気配フラグ-3","N225op")</f>
        <v/>
      </c>
      <c r="E12" t="str">
        <f>[1]!OPBOARD(I1,"P","23750","売気配フラグ-3","N225op")</f>
        <v/>
      </c>
      <c r="F12" t="str">
        <f>[1]!OPBOARD(I1,"C","23750","売気配フラグ-3","N225op")</f>
        <v/>
      </c>
    </row>
    <row r="13" spans="1:9" x14ac:dyDescent="0.4">
      <c r="A13" t="str">
        <f>[1]!OPBOARD(I1,"C","24000","買気配フラグ-3","N225op")</f>
        <v/>
      </c>
      <c r="B13" t="str">
        <f>[1]!OPBOARD(I1,"C","24000","買気配フラグ-3","N225op")</f>
        <v/>
      </c>
      <c r="C13" t="str">
        <f>[1]!OPBOARD(I1,"C","23875","買気配フラグ-3","N225op")</f>
        <v/>
      </c>
      <c r="D13" t="str">
        <f>[1]!OPBOARD(I1,"P","23875","買気配フラグ-3","N225op")</f>
        <v/>
      </c>
      <c r="E13" t="str">
        <f>[1]!OPBOARD(I1,"P","23750","買気配フラグ-3","N225op")</f>
        <v/>
      </c>
      <c r="F13" t="str">
        <f>[1]!OPBOARD(I1,"C","23750","買気配フラグ-3","N225op")</f>
        <v/>
      </c>
    </row>
    <row r="14" spans="1:9" x14ac:dyDescent="0.4">
      <c r="A14">
        <f>[1]!OPBOARD(I1,"C","24000","気配値-3","N225op")</f>
        <v>20</v>
      </c>
      <c r="B14">
        <f>[1]!OPBOARD(I1,"C","24000","気配値-3","N225op")</f>
        <v>20</v>
      </c>
      <c r="C14">
        <f>[1]!OPBOARD(I1,"C","23875","気配値-3","N225op")</f>
        <v>50</v>
      </c>
      <c r="D14">
        <f>[1]!OPBOARD(I1,"P","23875","気配値-3","N225op")</f>
        <v>0</v>
      </c>
      <c r="E14">
        <f>[1]!OPBOARD(I1,"P","23750","気配値-3","N225op")</f>
        <v>0</v>
      </c>
      <c r="F14">
        <f>[1]!OPBOARD(I1,"C","23750","気配値-3","N225op")</f>
        <v>25</v>
      </c>
    </row>
    <row r="15" spans="1:9" x14ac:dyDescent="0.4">
      <c r="A15">
        <f>[1]!OPBOARD(I1,"C","24000","出来高-3","N225op")</f>
        <v>0</v>
      </c>
      <c r="B15">
        <f>[1]!OPBOARD(I1,"C","24000","出来高-3","N225op")</f>
        <v>0</v>
      </c>
      <c r="C15">
        <f>[1]!OPBOARD(I1,"C","23875","出来高-3","N225op")</f>
        <v>0</v>
      </c>
      <c r="D15">
        <f>[1]!OPBOARD(I1,"P","23875","出来高-3","N225op")</f>
        <v>0</v>
      </c>
      <c r="E15">
        <f>[1]!OPBOARD(I1,"P","23750","出来高-3","N225op")</f>
        <v>0</v>
      </c>
      <c r="F15">
        <f>[1]!OPBOARD(I1,"C","23750","出来高-3","N225op")</f>
        <v>0</v>
      </c>
    </row>
    <row r="16" spans="1:9" x14ac:dyDescent="0.4">
      <c r="A16">
        <f>[1]!OPBOARD(I1,"C","24000","売気配数量-2","N225op")</f>
        <v>32</v>
      </c>
      <c r="B16">
        <f>[1]!OPBOARD(I1,"C","24000","売気配数量-2","N225op")</f>
        <v>32</v>
      </c>
      <c r="C16">
        <f>[1]!OPBOARD(I1,"C","23875","売気配数量-2","N225op")</f>
        <v>1</v>
      </c>
      <c r="D16">
        <f>[1]!OPBOARD(I1,"P","23875","売気配数量-2","N225op")</f>
        <v>0</v>
      </c>
      <c r="E16">
        <f>[1]!OPBOARD(I1,"P","23750","売気配数量-2","N225op")</f>
        <v>0</v>
      </c>
      <c r="F16">
        <f>[1]!OPBOARD(I1,"C","23750","売気配数量-2","N225op")</f>
        <v>30</v>
      </c>
    </row>
    <row r="17" spans="1:6" x14ac:dyDescent="0.4">
      <c r="A17">
        <f>[1]!OPBOARD(I1,"C","24000","買気配数量-2","N225op")</f>
        <v>0</v>
      </c>
      <c r="B17">
        <f>[1]!OPBOARD(I1,"C","24000","買気配数量-2","N225op")</f>
        <v>0</v>
      </c>
      <c r="C17">
        <f>[1]!OPBOARD(I1,"C","23875","買気配数量-2","N225op")</f>
        <v>0</v>
      </c>
      <c r="D17">
        <f>[1]!OPBOARD(I1,"P","23875","買気配数量-2","N225op")</f>
        <v>0</v>
      </c>
      <c r="E17">
        <f>[1]!OPBOARD(I1,"P","23750","買気配数量-2","N225op")</f>
        <v>0</v>
      </c>
      <c r="F17">
        <f>[1]!OPBOARD(I1,"C","23750","買気配数量-2","N225op")</f>
        <v>0</v>
      </c>
    </row>
    <row r="18" spans="1:6" x14ac:dyDescent="0.4">
      <c r="A18" t="str">
        <f>[1]!OPBOARD(I1,"C","24000","売気配フラグ-2","N225op")</f>
        <v/>
      </c>
      <c r="B18" t="str">
        <f>[1]!OPBOARD(I1,"C","24000","売気配フラグ-2","N225op")</f>
        <v/>
      </c>
      <c r="C18" t="str">
        <f>[1]!OPBOARD(I1,"C","23875","売気配フラグ-2","N225op")</f>
        <v/>
      </c>
      <c r="D18" t="str">
        <f>[1]!OPBOARD(I1,"P","23875","売気配フラグ-2","N225op")</f>
        <v/>
      </c>
      <c r="E18" t="str">
        <f>[1]!OPBOARD(I1,"P","23750","売気配フラグ-2","N225op")</f>
        <v/>
      </c>
      <c r="F18" t="str">
        <f>[1]!OPBOARD(I1,"C","23750","売気配フラグ-2","N225op")</f>
        <v/>
      </c>
    </row>
    <row r="19" spans="1:6" x14ac:dyDescent="0.4">
      <c r="A19" t="str">
        <f>[1]!OPBOARD(I1,"C","24000","買気配フラグ-2","N225op")</f>
        <v/>
      </c>
      <c r="B19" t="str">
        <f>[1]!OPBOARD(I1,"C","24000","買気配フラグ-2","N225op")</f>
        <v/>
      </c>
      <c r="C19" t="str">
        <f>[1]!OPBOARD(I1,"C","23875","買気配フラグ-2","N225op")</f>
        <v/>
      </c>
      <c r="D19" t="str">
        <f>[1]!OPBOARD(I1,"P","23875","買気配フラグ-2","N225op")</f>
        <v/>
      </c>
      <c r="E19" t="str">
        <f>[1]!OPBOARD(I1,"P","23750","買気配フラグ-2","N225op")</f>
        <v/>
      </c>
      <c r="F19" t="str">
        <f>[1]!OPBOARD(I1,"C","23750","買気配フラグ-2","N225op")</f>
        <v/>
      </c>
    </row>
    <row r="20" spans="1:6" x14ac:dyDescent="0.4">
      <c r="A20">
        <f>[1]!OPBOARD(I1,"C","24000","気配値-2","N225op")</f>
        <v>19</v>
      </c>
      <c r="B20">
        <f>[1]!OPBOARD(I1,"C","24000","気配値-2","N225op")</f>
        <v>19</v>
      </c>
      <c r="C20">
        <f>[1]!OPBOARD(I1,"C","23875","気配値-2","N225op")</f>
        <v>45</v>
      </c>
      <c r="D20">
        <f>[1]!OPBOARD(I1,"P","23875","気配値-2","N225op")</f>
        <v>0</v>
      </c>
      <c r="E20">
        <f>[1]!OPBOARD(I1,"P","23750","気配値-2","N225op")</f>
        <v>0</v>
      </c>
      <c r="F20">
        <f>[1]!OPBOARD(I1,"C","23750","気配値-2","N225op")</f>
        <v>24</v>
      </c>
    </row>
    <row r="21" spans="1:6" x14ac:dyDescent="0.4">
      <c r="A21">
        <f>[1]!OPBOARD(I1,"C","24000","出来高-2","N225op")</f>
        <v>0</v>
      </c>
      <c r="B21">
        <f>[1]!OPBOARD(I1,"C","24000","出来高-2","N225op")</f>
        <v>0</v>
      </c>
      <c r="C21">
        <f>[1]!OPBOARD(I1,"C","23875","出来高-2","N225op")</f>
        <v>0</v>
      </c>
      <c r="D21">
        <f>[1]!OPBOARD(I1,"P","23875","出来高-2","N225op")</f>
        <v>0</v>
      </c>
      <c r="E21">
        <f>[1]!OPBOARD(I1,"P","23750","出来高-2","N225op")</f>
        <v>0</v>
      </c>
      <c r="F21">
        <f>[1]!OPBOARD(I1,"C","23750","出来高-2","N225op")</f>
        <v>0</v>
      </c>
    </row>
    <row r="22" spans="1:6" x14ac:dyDescent="0.4">
      <c r="A22">
        <f>[1]!OPBOARD(I1,"C","24000","売気配数量-1","N225op")</f>
        <v>30</v>
      </c>
      <c r="B22">
        <f>[1]!OPBOARD(I1,"C","24000","売気配数量-1","N225op")</f>
        <v>30</v>
      </c>
      <c r="C22">
        <f>[1]!OPBOARD(I1,"C","23875","売気配数量-1","N225op")</f>
        <v>2</v>
      </c>
      <c r="D22">
        <f>[1]!OPBOARD(I1,"P","23875","売気配数量-1","N225op")</f>
        <v>0</v>
      </c>
      <c r="E22">
        <f>[1]!OPBOARD(I1,"P","23750","売気配数量-1","N225op")</f>
        <v>0</v>
      </c>
      <c r="F22">
        <f>[1]!OPBOARD(I1,"C","23750","売気配数量-1","N225op")</f>
        <v>30</v>
      </c>
    </row>
    <row r="23" spans="1:6" x14ac:dyDescent="0.4">
      <c r="A23">
        <f>[1]!OPBOARD(I1,"C","24000","買気配数量-1","N225op")</f>
        <v>0</v>
      </c>
      <c r="B23">
        <f>[1]!OPBOARD(I1,"C","24000","買気配数量-1","N225op")</f>
        <v>0</v>
      </c>
      <c r="C23">
        <f>[1]!OPBOARD(I1,"C","23875","買気配数量-1","N225op")</f>
        <v>0</v>
      </c>
      <c r="D23">
        <f>[1]!OPBOARD(I1,"P","23875","買気配数量-1","N225op")</f>
        <v>0</v>
      </c>
      <c r="E23">
        <f>[1]!OPBOARD(I1,"P","23750","買気配数量-1","N225op")</f>
        <v>0</v>
      </c>
      <c r="F23">
        <f>[1]!OPBOARD(I1,"C","23750","買気配数量-1","N225op")</f>
        <v>0</v>
      </c>
    </row>
    <row r="24" spans="1:6" x14ac:dyDescent="0.4">
      <c r="A24" t="str">
        <f>[1]!OPBOARD(I1,"C","24000","売気配フラグ-1","N225op")</f>
        <v/>
      </c>
      <c r="B24" t="str">
        <f>[1]!OPBOARD(I1,"C","24000","売気配フラグ-1","N225op")</f>
        <v/>
      </c>
      <c r="C24" t="str">
        <f>[1]!OPBOARD(I1,"C","23875","売気配フラグ-1","N225op")</f>
        <v/>
      </c>
      <c r="D24" t="str">
        <f>[1]!OPBOARD(I1,"P","23875","売気配フラグ-1","N225op")</f>
        <v/>
      </c>
      <c r="E24" t="str">
        <f>[1]!OPBOARD(I1,"P","23750","売気配フラグ-1","N225op")</f>
        <v/>
      </c>
      <c r="F24" t="str">
        <f>[1]!OPBOARD(I1,"C","23750","売気配フラグ-1","N225op")</f>
        <v/>
      </c>
    </row>
    <row r="25" spans="1:6" x14ac:dyDescent="0.4">
      <c r="A25" t="str">
        <f>[1]!OPBOARD(I1,"C","24000","買気配フラグ-1","N225op")</f>
        <v/>
      </c>
      <c r="B25" t="str">
        <f>[1]!OPBOARD(I1,"C","24000","買気配フラグ-1","N225op")</f>
        <v/>
      </c>
      <c r="C25" t="str">
        <f>[1]!OPBOARD(I1,"C","23875","買気配フラグ-1","N225op")</f>
        <v/>
      </c>
      <c r="D25" t="str">
        <f>[1]!OPBOARD(I1,"P","23875","買気配フラグ-1","N225op")</f>
        <v/>
      </c>
      <c r="E25" t="str">
        <f>[1]!OPBOARD(I1,"P","23750","買気配フラグ-1","N225op")</f>
        <v/>
      </c>
      <c r="F25" t="str">
        <f>[1]!OPBOARD(I1,"C","23750","買気配フラグ-1","N225op")</f>
        <v/>
      </c>
    </row>
    <row r="26" spans="1:6" x14ac:dyDescent="0.4">
      <c r="A26">
        <f>[1]!OPBOARD(I1,"C","24000","気配値-1","N225op")</f>
        <v>18</v>
      </c>
      <c r="B26">
        <f>[1]!OPBOARD(I1,"C","24000","気配値-1","N225op")</f>
        <v>18</v>
      </c>
      <c r="C26">
        <f>[1]!OPBOARD(I1,"C","23875","気配値-1","N225op")</f>
        <v>23</v>
      </c>
      <c r="D26">
        <f>[1]!OPBOARD(I1,"P","23875","気配値-1","N225op")</f>
        <v>0</v>
      </c>
      <c r="E26">
        <f>[1]!OPBOARD(I1,"P","23750","気配値-1","N225op")</f>
        <v>0</v>
      </c>
      <c r="F26">
        <f>[1]!OPBOARD(I1,"C","23750","気配値-1","N225op")</f>
        <v>23</v>
      </c>
    </row>
    <row r="27" spans="1:6" x14ac:dyDescent="0.4">
      <c r="A27">
        <f>[1]!OPBOARD(I1,"C","24000","出来高-1","N225op")</f>
        <v>0</v>
      </c>
      <c r="B27">
        <f>[1]!OPBOARD(I1,"C","24000","出来高-1","N225op")</f>
        <v>0</v>
      </c>
      <c r="C27">
        <f>[1]!OPBOARD(I1,"C","23875","出来高-1","N225op")</f>
        <v>0</v>
      </c>
      <c r="D27">
        <f>[1]!OPBOARD(I1,"P","23875","出来高-1","N225op")</f>
        <v>0</v>
      </c>
      <c r="E27">
        <f>[1]!OPBOARD(I1,"P","23750","出来高-1","N225op")</f>
        <v>0</v>
      </c>
      <c r="F27">
        <f>[1]!OPBOARD(I1,"C","23750","出来高-1","N225op")</f>
        <v>0</v>
      </c>
    </row>
    <row r="28" spans="1:6" x14ac:dyDescent="0.4">
      <c r="A28">
        <f>[1]!OPBOARD(I1,"C","24000","売気配数量1","N225op")</f>
        <v>108</v>
      </c>
      <c r="B28">
        <f>[1]!OPBOARD(I1,"C","24000","売気配数量0","N225op")</f>
        <v>70</v>
      </c>
      <c r="C28">
        <f>[1]!OPBOARD(I1,"C","23875","売気配数量0","N225op")</f>
        <v>39</v>
      </c>
      <c r="D28">
        <f>[1]!OPBOARD(I1,"P","23875","売気配数量0","N225op")</f>
        <v>0</v>
      </c>
      <c r="E28">
        <f>[1]!OPBOARD(I1,"P","23750","売気配数量0","N225op")</f>
        <v>0</v>
      </c>
      <c r="F28">
        <f>[1]!OPBOARD(I1,"C","23750","売気配数量0","N225op")</f>
        <v>30</v>
      </c>
    </row>
    <row r="29" spans="1:6" x14ac:dyDescent="0.4">
      <c r="A29">
        <f>[1]!OPBOARD(I1,"C","24000","買気配数量1","N225op")</f>
        <v>0</v>
      </c>
      <c r="B29">
        <f>[1]!OPBOARD(I1,"C","24000","買気配数量0","N225op")</f>
        <v>0</v>
      </c>
      <c r="C29">
        <f>[1]!OPBOARD(I1,"C","23875","買気配数量0","N225op")</f>
        <v>0</v>
      </c>
      <c r="D29">
        <f>[1]!OPBOARD(I1,"P","23875","買気配数量0","N225op")</f>
        <v>0</v>
      </c>
      <c r="E29">
        <f>[1]!OPBOARD(I1,"P","23750","買気配数量0","N225op")</f>
        <v>0</v>
      </c>
      <c r="F29">
        <f>[1]!OPBOARD(I1,"C","23750","買気配数量0","N225op")</f>
        <v>0</v>
      </c>
    </row>
    <row r="30" spans="1:6" x14ac:dyDescent="0.4">
      <c r="A30" t="str">
        <f>[1]!OPBOARD(I1,"C","24000","売気配フラグ1","N225op")</f>
        <v/>
      </c>
      <c r="B30" t="str">
        <f>[1]!OPBOARD(I1,"C","24000","売気配フラグ0","N225op")</f>
        <v/>
      </c>
      <c r="C30" t="str">
        <f>[1]!OPBOARD(I1,"C","23875","売気配フラグ0","N225op")</f>
        <v/>
      </c>
      <c r="D30" t="str">
        <f>[1]!OPBOARD(I1,"P","23875","売気配フラグ0","N225op")</f>
        <v/>
      </c>
      <c r="E30" t="str">
        <f>[1]!OPBOARD(I1,"P","23750","売気配フラグ0","N225op")</f>
        <v/>
      </c>
      <c r="F30" t="str">
        <f>[1]!OPBOARD(I1,"C","23750","売気配フラグ0","N225op")</f>
        <v/>
      </c>
    </row>
    <row r="31" spans="1:6" x14ac:dyDescent="0.4">
      <c r="A31" t="str">
        <f>[1]!OPBOARD(I1,"C","24000","買気配フラグ1","N225op")</f>
        <v/>
      </c>
      <c r="B31" t="str">
        <f>[1]!OPBOARD(I1,"C","24000","買気配フラグ0","N225op")</f>
        <v/>
      </c>
      <c r="C31" t="str">
        <f>[1]!OPBOARD(I1,"C","23875","買気配フラグ0","N225op")</f>
        <v/>
      </c>
      <c r="D31" t="str">
        <f>[1]!OPBOARD(I1,"P","23875","買気配フラグ0","N225op")</f>
        <v/>
      </c>
      <c r="E31" t="str">
        <f>[1]!OPBOARD(I1,"P","23750","買気配フラグ0","N225op")</f>
        <v/>
      </c>
      <c r="F31" t="str">
        <f>[1]!OPBOARD(I1,"C","23750","買気配フラグ0","N225op")</f>
        <v/>
      </c>
    </row>
    <row r="32" spans="1:6" x14ac:dyDescent="0.4">
      <c r="A32">
        <f>[1]!OPBOARD(I1,"C","24000","気配値1","N225op")</f>
        <v>16</v>
      </c>
      <c r="B32">
        <f>[1]!OPBOARD(I1,"C","24000","気配値0","N225op")</f>
        <v>17</v>
      </c>
      <c r="C32">
        <f>[1]!OPBOARD(I1,"C","23875","気配値0","N225op")</f>
        <v>19</v>
      </c>
      <c r="D32">
        <f>[1]!OPBOARD(I1,"P","23875","気配値0","N225op")</f>
        <v>0</v>
      </c>
      <c r="E32">
        <f>[1]!OPBOARD(I1,"P","23750","気配値0","N225op")</f>
        <v>0</v>
      </c>
      <c r="F32">
        <f>[1]!OPBOARD(I1,"C","23750","気配値0","N225op")</f>
        <v>22</v>
      </c>
    </row>
    <row r="33" spans="1:6" x14ac:dyDescent="0.4">
      <c r="A33">
        <f>[1]!OPBOARD(I1,"C","24000","出来高1","N225op")</f>
        <v>0</v>
      </c>
      <c r="B33">
        <f>[1]!OPBOARD(I1,"C","24000","出来高0","N225op")</f>
        <v>0</v>
      </c>
      <c r="C33">
        <f>[1]!OPBOARD(I1,"C","23875","出来高0","N225op")</f>
        <v>0</v>
      </c>
      <c r="D33">
        <f>[1]!OPBOARD(I1,"P","23875","出来高0","N225op")</f>
        <v>0</v>
      </c>
      <c r="E33">
        <f>[1]!OPBOARD(I1,"P","23750","出来高0","N225op")</f>
        <v>0</v>
      </c>
      <c r="F33">
        <f>[1]!OPBOARD(I1,"C","23750","出来高0","N225op")</f>
        <v>0</v>
      </c>
    </row>
    <row r="34" spans="1:6" x14ac:dyDescent="0.4">
      <c r="A34">
        <f>[1]!OPBOARD(I1,"C","24000","売気配数量1","N225op")</f>
        <v>108</v>
      </c>
      <c r="B34">
        <f>[1]!OPBOARD(I1,"C","24000","売気配数量1","N225op")</f>
        <v>108</v>
      </c>
      <c r="C34">
        <f>[1]!OPBOARD(I1,"C","23875","売気配数量1","N225op")</f>
        <v>101</v>
      </c>
      <c r="D34">
        <f>[1]!OPBOARD(I1,"P","23875","売気配数量1","N225op")</f>
        <v>0</v>
      </c>
      <c r="E34">
        <f>[1]!OPBOARD(I1,"P","23750","売気配数量1","N225op")</f>
        <v>0</v>
      </c>
      <c r="F34">
        <f>[1]!OPBOARD(I1,"C","23750","売気配数量1","N225op")</f>
        <v>95</v>
      </c>
    </row>
    <row r="35" spans="1:6" x14ac:dyDescent="0.4">
      <c r="A35">
        <f>[1]!OPBOARD(I1,"C","24000","買気配数量1","N225op")</f>
        <v>0</v>
      </c>
      <c r="B35">
        <f>[1]!OPBOARD(I1,"C","24000","買気配数量1","N225op")</f>
        <v>0</v>
      </c>
      <c r="C35">
        <f>[1]!OPBOARD(I1,"C","23875","買気配数量1","N225op")</f>
        <v>0</v>
      </c>
      <c r="D35">
        <f>[1]!OPBOARD(I1,"P","23875","買気配数量1","N225op")</f>
        <v>0</v>
      </c>
      <c r="E35">
        <f>[1]!OPBOARD(I1,"P","23750","買気配数量1","N225op")</f>
        <v>0</v>
      </c>
      <c r="F35">
        <f>[1]!OPBOARD(I1,"C","23750","買気配数量1","N225op")</f>
        <v>0</v>
      </c>
    </row>
    <row r="36" spans="1:6" x14ac:dyDescent="0.4">
      <c r="A36" t="str">
        <f>[1]!OPBOARD(I1,"C","24000","売気配フラグ1","N225op")</f>
        <v/>
      </c>
      <c r="B36" t="str">
        <f>[1]!OPBOARD(I1,"C","24000","売気配フラグ1","N225op")</f>
        <v/>
      </c>
      <c r="C36" t="str">
        <f>[1]!OPBOARD(I1,"C","23875","売気配フラグ1","N225op")</f>
        <v/>
      </c>
      <c r="D36" t="str">
        <f>[1]!OPBOARD(I1,"P","23875","売気配フラグ1","N225op")</f>
        <v/>
      </c>
      <c r="E36" t="str">
        <f>[1]!OPBOARD(I1,"P","23750","売気配フラグ1","N225op")</f>
        <v/>
      </c>
      <c r="F36" t="str">
        <f>[1]!OPBOARD(I1,"C","23750","売気配フラグ1","N225op")</f>
        <v/>
      </c>
    </row>
    <row r="37" spans="1:6" x14ac:dyDescent="0.4">
      <c r="A37" t="str">
        <f>[1]!OPBOARD(I1,"C","24000","買気配フラグ1","N225op")</f>
        <v/>
      </c>
      <c r="B37" t="str">
        <f>[1]!OPBOARD(I1,"C","24000","買気配フラグ1","N225op")</f>
        <v/>
      </c>
      <c r="C37" t="str">
        <f>[1]!OPBOARD(I1,"C","23875","買気配フラグ1","N225op")</f>
        <v/>
      </c>
      <c r="D37" t="str">
        <f>[1]!OPBOARD(I1,"P","23875","買気配フラグ1","N225op")</f>
        <v/>
      </c>
      <c r="E37" t="str">
        <f>[1]!OPBOARD(I1,"P","23750","買気配フラグ1","N225op")</f>
        <v/>
      </c>
      <c r="F37" t="str">
        <f>[1]!OPBOARD(I1,"C","23750","買気配フラグ1","N225op")</f>
        <v/>
      </c>
    </row>
    <row r="38" spans="1:6" x14ac:dyDescent="0.4">
      <c r="A38">
        <f>[1]!OPBOARD(I1,"C","24000","気配値1","N225op")</f>
        <v>16</v>
      </c>
      <c r="B38">
        <f>[1]!OPBOARD(I1,"C","24000","気配値1","N225op")</f>
        <v>16</v>
      </c>
      <c r="C38">
        <f>[1]!OPBOARD(I1,"C","23875","気配値1","N225op")</f>
        <v>18</v>
      </c>
      <c r="D38">
        <f>[1]!OPBOARD(I1,"P","23875","気配値1","N225op")</f>
        <v>0</v>
      </c>
      <c r="E38">
        <f>[1]!OPBOARD(I1,"P","23750","気配値1","N225op")</f>
        <v>0</v>
      </c>
      <c r="F38">
        <f>[1]!OPBOARD(I1,"C","23750","気配値1","N225op")</f>
        <v>21</v>
      </c>
    </row>
    <row r="39" spans="1:6" x14ac:dyDescent="0.4">
      <c r="A39">
        <f>[1]!OPBOARD(I1,"C","24000","出来高1","N225op")</f>
        <v>0</v>
      </c>
      <c r="B39">
        <f>[1]!OPBOARD(I1,"C","24000","出来高1","N225op")</f>
        <v>0</v>
      </c>
      <c r="C39">
        <f>[1]!OPBOARD(I1,"C","23875","出来高1","N225op")</f>
        <v>0</v>
      </c>
      <c r="D39">
        <f>[1]!OPBOARD(I1,"P","23875","出来高1","N225op")</f>
        <v>0</v>
      </c>
      <c r="E39">
        <f>[1]!OPBOARD(I1,"P","23750","出来高1","N225op")</f>
        <v>0</v>
      </c>
      <c r="F39">
        <f>[1]!OPBOARD(I1,"C","23750","出来高1","N225op")</f>
        <v>0</v>
      </c>
    </row>
    <row r="40" spans="1:6" x14ac:dyDescent="0.4">
      <c r="A40">
        <f>[1]!OPBOARD(I1,"C","24000","売気配数量2","N225op")</f>
        <v>137</v>
      </c>
      <c r="B40">
        <f>[1]!OPBOARD(I1,"C","24000","売気配数量2","N225op")</f>
        <v>137</v>
      </c>
      <c r="C40">
        <f>[1]!OPBOARD(I1,"C","23875","売気配数量2","N225op")</f>
        <v>133</v>
      </c>
      <c r="D40">
        <f>[1]!OPBOARD(I1,"P","23875","売気配数量2","N225op")</f>
        <v>0</v>
      </c>
      <c r="E40">
        <f>[1]!OPBOARD(I1,"P","23750","売気配数量2","N225op")</f>
        <v>0</v>
      </c>
      <c r="F40">
        <f>[1]!OPBOARD(I1,"C","23750","売気配数量2","N225op")</f>
        <v>149</v>
      </c>
    </row>
    <row r="41" spans="1:6" x14ac:dyDescent="0.4">
      <c r="A41">
        <f>[1]!OPBOARD(I1,"C","24000","買気配数量2","N225op")</f>
        <v>0</v>
      </c>
      <c r="B41">
        <f>[1]!OPBOARD(I1,"C","24000","買気配数量2","N225op")</f>
        <v>0</v>
      </c>
      <c r="C41">
        <f>[1]!OPBOARD(I1,"C","23875","買気配数量2","N225op")</f>
        <v>0</v>
      </c>
      <c r="D41">
        <f>[1]!OPBOARD(I1,"P","23875","買気配数量2","N225op")</f>
        <v>0</v>
      </c>
      <c r="E41">
        <f>[1]!OPBOARD(I1,"P","23750","買気配数量2","N225op")</f>
        <v>0</v>
      </c>
      <c r="F41">
        <f>[1]!OPBOARD(I1,"C","23750","買気配数量2","N225op")</f>
        <v>0</v>
      </c>
    </row>
    <row r="42" spans="1:6" x14ac:dyDescent="0.4">
      <c r="A42" t="str">
        <f>[1]!OPBOARD(I1,"C","24000","売気配フラグ2","N225op")</f>
        <v/>
      </c>
      <c r="B42" t="str">
        <f>[1]!OPBOARD(I1,"C","24000","売気配フラグ2","N225op")</f>
        <v/>
      </c>
      <c r="C42" t="str">
        <f>[1]!OPBOARD(I1,"C","23875","売気配フラグ2","N225op")</f>
        <v/>
      </c>
      <c r="D42" t="str">
        <f>[1]!OPBOARD(I1,"P","23875","売気配フラグ2","N225op")</f>
        <v/>
      </c>
      <c r="E42" t="str">
        <f>[1]!OPBOARD(I1,"P","23750","売気配フラグ2","N225op")</f>
        <v/>
      </c>
      <c r="F42" t="str">
        <f>[1]!OPBOARD(I1,"C","23750","売気配フラグ2","N225op")</f>
        <v/>
      </c>
    </row>
    <row r="43" spans="1:6" x14ac:dyDescent="0.4">
      <c r="A43" t="str">
        <f>[1]!OPBOARD(I1,"C","24000","買気配フラグ2","N225op")</f>
        <v/>
      </c>
      <c r="B43" t="str">
        <f>[1]!OPBOARD(I1,"C","24000","買気配フラグ2","N225op")</f>
        <v/>
      </c>
      <c r="C43" t="str">
        <f>[1]!OPBOARD(I1,"C","23875","買気配フラグ2","N225op")</f>
        <v/>
      </c>
      <c r="D43" t="str">
        <f>[1]!OPBOARD(I1,"P","23875","買気配フラグ2","N225op")</f>
        <v/>
      </c>
      <c r="E43" t="str">
        <f>[1]!OPBOARD(I1,"P","23750","買気配フラグ2","N225op")</f>
        <v/>
      </c>
      <c r="F43" t="str">
        <f>[1]!OPBOARD(I1,"C","23750","買気配フラグ2","N225op")</f>
        <v/>
      </c>
    </row>
    <row r="44" spans="1:6" x14ac:dyDescent="0.4">
      <c r="A44">
        <f>[1]!OPBOARD(I1,"C","24000","気配値2","N225op")</f>
        <v>15</v>
      </c>
      <c r="B44">
        <f>[1]!OPBOARD(I1,"C","24000","気配値2","N225op")</f>
        <v>15</v>
      </c>
      <c r="C44">
        <f>[1]!OPBOARD(I1,"C","23875","気配値2","N225op")</f>
        <v>17</v>
      </c>
      <c r="D44">
        <f>[1]!OPBOARD(I1,"P","23875","気配値2","N225op")</f>
        <v>0</v>
      </c>
      <c r="E44">
        <f>[1]!OPBOARD(I1,"P","23750","気配値2","N225op")</f>
        <v>0</v>
      </c>
      <c r="F44">
        <f>[1]!OPBOARD(I1,"C","23750","気配値2","N225op")</f>
        <v>20</v>
      </c>
    </row>
    <row r="45" spans="1:6" x14ac:dyDescent="0.4">
      <c r="A45">
        <f>[1]!OPBOARD(I1,"C","24000","出来高2","N225op")</f>
        <v>0</v>
      </c>
      <c r="B45">
        <f>[1]!OPBOARD(I1,"C","24000","出来高2","N225op")</f>
        <v>0</v>
      </c>
      <c r="C45">
        <f>[1]!OPBOARD(I1,"C","23875","出来高2","N225op")</f>
        <v>0</v>
      </c>
      <c r="D45">
        <f>[1]!OPBOARD(I1,"P","23875","出来高2","N225op")</f>
        <v>0</v>
      </c>
      <c r="E45">
        <f>[1]!OPBOARD(I1,"P","23750","出来高2","N225op")</f>
        <v>0</v>
      </c>
      <c r="F45">
        <f>[1]!OPBOARD(I1,"C","23750","出来高2","N225op")</f>
        <v>0</v>
      </c>
    </row>
    <row r="46" spans="1:6" x14ac:dyDescent="0.4">
      <c r="A46">
        <f>[1]!OPBOARD(I1,"C","24000","売気配数量3","N225op")</f>
        <v>147</v>
      </c>
      <c r="B46">
        <f>[1]!OPBOARD(I1,"C","24000","売気配数量3","N225op")</f>
        <v>147</v>
      </c>
      <c r="C46">
        <f>[1]!OPBOARD(I1,"C","23875","売気配数量3","N225op")</f>
        <v>134</v>
      </c>
      <c r="D46">
        <f>[1]!OPBOARD(I1,"P","23875","売気配数量3","N225op")</f>
        <v>0</v>
      </c>
      <c r="E46">
        <f>[1]!OPBOARD(I1,"P","23750","売気配数量3","N225op")</f>
        <v>0</v>
      </c>
      <c r="F46">
        <f>[1]!OPBOARD(I1,"C","23750","売気配数量3","N225op")</f>
        <v>129</v>
      </c>
    </row>
    <row r="47" spans="1:6" x14ac:dyDescent="0.4">
      <c r="A47">
        <f>[1]!OPBOARD(I1,"C","24000","買気配数量3","N225op")</f>
        <v>0</v>
      </c>
      <c r="B47">
        <f>[1]!OPBOARD(I1,"C","24000","買気配数量3","N225op")</f>
        <v>0</v>
      </c>
      <c r="C47">
        <f>[1]!OPBOARD(I1,"C","23875","買気配数量3","N225op")</f>
        <v>0</v>
      </c>
      <c r="D47">
        <f>[1]!OPBOARD(I1,"P","23875","買気配数量3","N225op")</f>
        <v>0</v>
      </c>
      <c r="E47">
        <f>[1]!OPBOARD(I1,"P","23750","買気配数量3","N225op")</f>
        <v>0</v>
      </c>
      <c r="F47">
        <f>[1]!OPBOARD(I1,"C","23750","買気配数量3","N225op")</f>
        <v>0</v>
      </c>
    </row>
    <row r="48" spans="1:6" x14ac:dyDescent="0.4">
      <c r="A48" t="str">
        <f>[1]!OPBOARD(I1,"C","24000","売気配フラグ3","N225op")</f>
        <v/>
      </c>
      <c r="B48" t="str">
        <f>[1]!OPBOARD(I1,"C","24000","売気配フラグ3","N225op")</f>
        <v/>
      </c>
      <c r="C48" t="str">
        <f>[1]!OPBOARD(I1,"C","23875","売気配フラグ3","N225op")</f>
        <v/>
      </c>
      <c r="D48" t="str">
        <f>[1]!OPBOARD(I1,"P","23875","売気配フラグ3","N225op")</f>
        <v/>
      </c>
      <c r="E48" t="str">
        <f>[1]!OPBOARD(I1,"P","23750","売気配フラグ3","N225op")</f>
        <v/>
      </c>
      <c r="F48" t="str">
        <f>[1]!OPBOARD(I1,"C","23750","売気配フラグ3","N225op")</f>
        <v/>
      </c>
    </row>
    <row r="49" spans="1:6" x14ac:dyDescent="0.4">
      <c r="A49" t="str">
        <f>[1]!OPBOARD(I1,"C","24000","買気配フラグ3","N225op")</f>
        <v/>
      </c>
      <c r="B49" t="str">
        <f>[1]!OPBOARD(I1,"C","24000","買気配フラグ3","N225op")</f>
        <v/>
      </c>
      <c r="C49" t="str">
        <f>[1]!OPBOARD(I1,"C","23875","買気配フラグ3","N225op")</f>
        <v/>
      </c>
      <c r="D49" t="str">
        <f>[1]!OPBOARD(I1,"P","23875","買気配フラグ3","N225op")</f>
        <v/>
      </c>
      <c r="E49" t="str">
        <f>[1]!OPBOARD(I1,"P","23750","買気配フラグ3","N225op")</f>
        <v/>
      </c>
      <c r="F49" t="str">
        <f>[1]!OPBOARD(I1,"C","23750","買気配フラグ3","N225op")</f>
        <v/>
      </c>
    </row>
    <row r="50" spans="1:6" x14ac:dyDescent="0.4">
      <c r="A50">
        <f>[1]!OPBOARD(I1,"C","24000","気配値3","N225op")</f>
        <v>14</v>
      </c>
      <c r="B50">
        <f>[1]!OPBOARD(I1,"C","24000","気配値3","N225op")</f>
        <v>14</v>
      </c>
      <c r="C50">
        <f>[1]!OPBOARD(I1,"C","23875","気配値3","N225op")</f>
        <v>16</v>
      </c>
      <c r="D50">
        <f>[1]!OPBOARD(I1,"P","23875","気配値3","N225op")</f>
        <v>0</v>
      </c>
      <c r="E50">
        <f>[1]!OPBOARD(I1,"P","23750","気配値3","N225op")</f>
        <v>0</v>
      </c>
      <c r="F50">
        <f>[1]!OPBOARD(I1,"C","23750","気配値3","N225op")</f>
        <v>19</v>
      </c>
    </row>
    <row r="51" spans="1:6" x14ac:dyDescent="0.4">
      <c r="A51">
        <f>[1]!OPBOARD(I1,"C","24000","出来高3","N225op")</f>
        <v>0</v>
      </c>
      <c r="B51">
        <f>[1]!OPBOARD(I1,"C","24000","出来高3","N225op")</f>
        <v>0</v>
      </c>
      <c r="C51">
        <f>[1]!OPBOARD(I1,"C","23875","出来高3","N225op")</f>
        <v>0</v>
      </c>
      <c r="D51">
        <f>[1]!OPBOARD(I1,"P","23875","出来高3","N225op")</f>
        <v>0</v>
      </c>
      <c r="E51">
        <f>[1]!OPBOARD(I1,"P","23750","出来高3","N225op")</f>
        <v>0</v>
      </c>
      <c r="F51">
        <f>[1]!OPBOARD(I1,"C","23750","出来高3","N225op")</f>
        <v>0</v>
      </c>
    </row>
    <row r="52" spans="1:6" x14ac:dyDescent="0.4">
      <c r="A52">
        <f>[1]!OPBOARD(I1,"C","24000","売気配数量4","N225op")</f>
        <v>104</v>
      </c>
      <c r="B52">
        <f>[1]!OPBOARD(I1,"C","24000","売気配数量4","N225op")</f>
        <v>104</v>
      </c>
      <c r="C52">
        <f>[1]!OPBOARD(I1,"C","23875","売気配数量4","N225op")</f>
        <v>103</v>
      </c>
      <c r="D52">
        <f>[1]!OPBOARD(I1,"P","23875","売気配数量4","N225op")</f>
        <v>0</v>
      </c>
      <c r="E52">
        <f>[1]!OPBOARD(I1,"P","23750","売気配数量4","N225op")</f>
        <v>0</v>
      </c>
      <c r="F52">
        <f>[1]!OPBOARD(I1,"C","23750","売気配数量4","N225op")</f>
        <v>103</v>
      </c>
    </row>
    <row r="53" spans="1:6" x14ac:dyDescent="0.4">
      <c r="A53">
        <f>[1]!OPBOARD(I1,"C","24000","買気配数量4","N225op")</f>
        <v>0</v>
      </c>
      <c r="B53">
        <f>[1]!OPBOARD(I1,"C","24000","買気配数量4","N225op")</f>
        <v>0</v>
      </c>
      <c r="C53">
        <f>[1]!OPBOARD(I1,"C","23875","買気配数量4","N225op")</f>
        <v>0</v>
      </c>
      <c r="D53">
        <f>[1]!OPBOARD(I1,"P","23875","買気配数量4","N225op")</f>
        <v>0</v>
      </c>
      <c r="E53">
        <f>[1]!OPBOARD(I1,"P","23750","買気配数量4","N225op")</f>
        <v>0</v>
      </c>
      <c r="F53">
        <f>[1]!OPBOARD(I1,"C","23750","買気配数量4","N225op")</f>
        <v>0</v>
      </c>
    </row>
    <row r="54" spans="1:6" x14ac:dyDescent="0.4">
      <c r="A54" t="str">
        <f>[1]!OPBOARD(I1,"C","24000","売気配フラグ4","N225op")</f>
        <v/>
      </c>
      <c r="B54" t="str">
        <f>[1]!OPBOARD(I1,"C","24000","売気配フラグ4","N225op")</f>
        <v/>
      </c>
      <c r="C54" t="str">
        <f>[1]!OPBOARD(I1,"C","23875","売気配フラグ4","N225op")</f>
        <v/>
      </c>
      <c r="D54" t="str">
        <f>[1]!OPBOARD(I1,"P","23875","売気配フラグ4","N225op")</f>
        <v/>
      </c>
      <c r="E54" t="str">
        <f>[1]!OPBOARD(I1,"P","23750","売気配フラグ4","N225op")</f>
        <v/>
      </c>
      <c r="F54" t="str">
        <f>[1]!OPBOARD(I1,"C","23750","売気配フラグ4","N225op")</f>
        <v/>
      </c>
    </row>
    <row r="55" spans="1:6" x14ac:dyDescent="0.4">
      <c r="A55" t="str">
        <f>[1]!OPBOARD(I1,"C","24000","買気配フラグ4","N225op")</f>
        <v/>
      </c>
      <c r="B55" t="str">
        <f>[1]!OPBOARD(I1,"C","24000","買気配フラグ4","N225op")</f>
        <v/>
      </c>
      <c r="C55" t="str">
        <f>[1]!OPBOARD(I1,"C","23875","買気配フラグ4","N225op")</f>
        <v/>
      </c>
      <c r="D55" t="str">
        <f>[1]!OPBOARD(I1,"P","23875","買気配フラグ4","N225op")</f>
        <v/>
      </c>
      <c r="E55" t="str">
        <f>[1]!OPBOARD(I1,"P","23750","買気配フラグ4","N225op")</f>
        <v/>
      </c>
      <c r="F55" t="str">
        <f>[1]!OPBOARD(I1,"C","23750","買気配フラグ4","N225op")</f>
        <v/>
      </c>
    </row>
    <row r="56" spans="1:6" x14ac:dyDescent="0.4">
      <c r="A56">
        <f>[1]!OPBOARD(I1,"C","24000","気配値4","N225op")</f>
        <v>13</v>
      </c>
      <c r="B56">
        <f>[1]!OPBOARD(I1,"C","24000","気配値4","N225op")</f>
        <v>13</v>
      </c>
      <c r="C56">
        <f>[1]!OPBOARD(I1,"C","23875","気配値4","N225op")</f>
        <v>15</v>
      </c>
      <c r="D56">
        <f>[1]!OPBOARD(I1,"P","23875","気配値4","N225op")</f>
        <v>0</v>
      </c>
      <c r="E56">
        <f>[1]!OPBOARD(I1,"P","23750","気配値4","N225op")</f>
        <v>0</v>
      </c>
      <c r="F56">
        <f>[1]!OPBOARD(I1,"C","23750","気配値4","N225op")</f>
        <v>18</v>
      </c>
    </row>
    <row r="57" spans="1:6" x14ac:dyDescent="0.4">
      <c r="A57">
        <f>[1]!OPBOARD(I1,"C","24000","出来高4","N225op")</f>
        <v>0</v>
      </c>
      <c r="B57">
        <f>[1]!OPBOARD(I1,"C","24000","出来高4","N225op")</f>
        <v>0</v>
      </c>
      <c r="C57">
        <f>[1]!OPBOARD(I1,"C","23875","出来高4","N225op")</f>
        <v>1</v>
      </c>
      <c r="D57">
        <f>[1]!OPBOARD(I1,"P","23875","出来高4","N225op")</f>
        <v>0</v>
      </c>
      <c r="E57">
        <f>[1]!OPBOARD(I1,"P","23750","出来高4","N225op")</f>
        <v>0</v>
      </c>
      <c r="F57">
        <f>[1]!OPBOARD(I1,"C","23750","出来高4","N225op")</f>
        <v>0</v>
      </c>
    </row>
    <row r="58" spans="1:6" x14ac:dyDescent="0.4">
      <c r="A58">
        <f>[1]!OPBOARD(I1,"C","24000","売気配数量5","N225op")</f>
        <v>28</v>
      </c>
      <c r="B58">
        <f>[1]!OPBOARD(I1,"C","24000","売気配数量5","N225op")</f>
        <v>28</v>
      </c>
      <c r="C58">
        <f>[1]!OPBOARD(I1,"C","23875","売気配数量5","N225op")</f>
        <v>4</v>
      </c>
      <c r="D58">
        <f>[1]!OPBOARD(I1,"P","23875","売気配数量5","N225op")</f>
        <v>0</v>
      </c>
      <c r="E58">
        <f>[1]!OPBOARD(I1,"P","23750","売気配数量5","N225op")</f>
        <v>0</v>
      </c>
      <c r="F58">
        <f>[1]!OPBOARD(I1,"C","23750","売気配数量5","N225op")</f>
        <v>65</v>
      </c>
    </row>
    <row r="59" spans="1:6" x14ac:dyDescent="0.4">
      <c r="A59">
        <f>[1]!OPBOARD(I1,"C","24000","買気配数量5","N225op")</f>
        <v>0</v>
      </c>
      <c r="B59">
        <f>[1]!OPBOARD(I1,"C","24000","買気配数量5","N225op")</f>
        <v>0</v>
      </c>
      <c r="C59">
        <f>[1]!OPBOARD(I1,"C","23875","買気配数量5","N225op")</f>
        <v>0</v>
      </c>
      <c r="D59">
        <f>[1]!OPBOARD(I1,"P","23875","買気配数量5","N225op")</f>
        <v>0</v>
      </c>
      <c r="E59">
        <f>[1]!OPBOARD(I1,"P","23750","買気配数量5","N225op")</f>
        <v>0</v>
      </c>
      <c r="F59">
        <f>[1]!OPBOARD(I1,"C","23750","買気配数量5","N225op")</f>
        <v>0</v>
      </c>
    </row>
    <row r="60" spans="1:6" x14ac:dyDescent="0.4">
      <c r="A60" t="str">
        <f>[1]!OPBOARD(I1,"C","24000","売気配フラグ5","N225op")</f>
        <v/>
      </c>
      <c r="B60" t="str">
        <f>[1]!OPBOARD(I1,"C","24000","売気配フラグ5","N225op")</f>
        <v/>
      </c>
      <c r="C60" t="str">
        <f>[1]!OPBOARD(I1,"C","23875","売気配フラグ5","N225op")</f>
        <v/>
      </c>
      <c r="D60" t="str">
        <f>[1]!OPBOARD(I1,"P","23875","売気配フラグ5","N225op")</f>
        <v/>
      </c>
      <c r="E60" t="str">
        <f>[1]!OPBOARD(I1,"P","23750","売気配フラグ5","N225op")</f>
        <v/>
      </c>
      <c r="F60" t="str">
        <f>[1]!OPBOARD(I1,"C","23750","売気配フラグ5","N225op")</f>
        <v/>
      </c>
    </row>
    <row r="61" spans="1:6" x14ac:dyDescent="0.4">
      <c r="A61" t="str">
        <f>[1]!OPBOARD(I1,"C","24000","買気配フラグ5","N225op")</f>
        <v/>
      </c>
      <c r="B61" t="str">
        <f>[1]!OPBOARD(I1,"C","24000","買気配フラグ5","N225op")</f>
        <v/>
      </c>
      <c r="C61" t="str">
        <f>[1]!OPBOARD(I1,"C","23875","買気配フラグ5","N225op")</f>
        <v/>
      </c>
      <c r="D61" t="str">
        <f>[1]!OPBOARD(I1,"P","23875","買気配フラグ5","N225op")</f>
        <v/>
      </c>
      <c r="E61" t="str">
        <f>[1]!OPBOARD(I1,"P","23750","買気配フラグ5","N225op")</f>
        <v/>
      </c>
      <c r="F61" t="str">
        <f>[1]!OPBOARD(I1,"C","23750","買気配フラグ5","N225op")</f>
        <v/>
      </c>
    </row>
    <row r="62" spans="1:6" x14ac:dyDescent="0.4">
      <c r="A62">
        <f>[1]!OPBOARD(I1,"C","24000","気配値5","N225op")</f>
        <v>12</v>
      </c>
      <c r="B62">
        <f>[1]!OPBOARD(I1,"C","24000","気配値5","N225op")</f>
        <v>12</v>
      </c>
      <c r="C62">
        <f>[1]!OPBOARD(I1,"C","23875","気配値5","N225op")</f>
        <v>14</v>
      </c>
      <c r="D62">
        <f>[1]!OPBOARD(I1,"P","23875","気配値5","N225op")</f>
        <v>0</v>
      </c>
      <c r="E62">
        <f>[1]!OPBOARD(I1,"P","23750","気配値5","N225op")</f>
        <v>0</v>
      </c>
      <c r="F62">
        <f>[1]!OPBOARD(I1,"C","23750","気配値5","N225op")</f>
        <v>17</v>
      </c>
    </row>
    <row r="63" spans="1:6" x14ac:dyDescent="0.4">
      <c r="A63">
        <f>[1]!OPBOARD(I1,"C","24000","出来高5","N225op")</f>
        <v>57</v>
      </c>
      <c r="B63">
        <f>[1]!OPBOARD(I1,"C","24000","出来高5","N225op")</f>
        <v>57</v>
      </c>
      <c r="C63">
        <f>[1]!OPBOARD(I1,"C","23875","出来高5","N225op")</f>
        <v>5</v>
      </c>
      <c r="D63">
        <f>[1]!OPBOARD(I1,"P","23875","出来高5","N225op")</f>
        <v>0</v>
      </c>
      <c r="E63">
        <f>[1]!OPBOARD(I1,"P","23750","出来高5","N225op")</f>
        <v>0</v>
      </c>
      <c r="F63">
        <f>[1]!OPBOARD(I1,"C","23750","出来高5","N225op")</f>
        <v>22</v>
      </c>
    </row>
    <row r="64" spans="1:6" x14ac:dyDescent="0.4">
      <c r="A64">
        <f>[1]!OPBOARD(I1,"C","24000","売気配数量6","N225op")</f>
        <v>0</v>
      </c>
      <c r="B64">
        <f>[1]!OPBOARD(I1,"C","24000","売気配数量6","N225op")</f>
        <v>0</v>
      </c>
      <c r="C64">
        <f>[1]!OPBOARD(I1,"C","23875","売気配数量6","N225op")</f>
        <v>0</v>
      </c>
      <c r="D64">
        <f>[1]!OPBOARD(I1,"P","23875","売気配数量6","N225op")</f>
        <v>0</v>
      </c>
      <c r="E64">
        <f>[1]!OPBOARD(I1,"P","23750","売気配数量6","N225op")</f>
        <v>0</v>
      </c>
      <c r="F64">
        <f>[1]!OPBOARD(I1,"C","23750","売気配数量6","N225op")</f>
        <v>0</v>
      </c>
    </row>
    <row r="65" spans="1:6" x14ac:dyDescent="0.4">
      <c r="A65">
        <f>[1]!OPBOARD(I1,"C","24000","買気配数量6","N225op")</f>
        <v>30</v>
      </c>
      <c r="B65">
        <f>[1]!OPBOARD(I1,"C","24000","買気配数量6","N225op")</f>
        <v>30</v>
      </c>
      <c r="C65">
        <f>[1]!OPBOARD(I1,"C","23875","買気配数量6","N225op")</f>
        <v>31</v>
      </c>
      <c r="D65">
        <f>[1]!OPBOARD(I1,"P","23875","買気配数量6","N225op")</f>
        <v>20</v>
      </c>
      <c r="E65">
        <f>[1]!OPBOARD(I1,"P","23750","買気配数量6","N225op")</f>
        <v>1</v>
      </c>
      <c r="F65">
        <f>[1]!OPBOARD(I1,"C","23750","買気配数量6","N225op")</f>
        <v>72</v>
      </c>
    </row>
    <row r="66" spans="1:6" x14ac:dyDescent="0.4">
      <c r="A66" t="str">
        <f>[1]!OPBOARD(I1,"C","24000","売気配フラグ6","N225op")</f>
        <v/>
      </c>
      <c r="B66" t="str">
        <f>[1]!OPBOARD(I1,"C","24000","売気配フラグ6","N225op")</f>
        <v/>
      </c>
      <c r="C66" t="str">
        <f>[1]!OPBOARD(I1,"C","23875","売気配フラグ6","N225op")</f>
        <v/>
      </c>
      <c r="D66" t="str">
        <f>[1]!OPBOARD(I1,"P","23875","売気配フラグ6","N225op")</f>
        <v/>
      </c>
      <c r="E66" t="str">
        <f>[1]!OPBOARD(I1,"P","23750","売気配フラグ6","N225op")</f>
        <v/>
      </c>
      <c r="F66" t="str">
        <f>[1]!OPBOARD(I1,"C","23750","売気配フラグ6","N225op")</f>
        <v/>
      </c>
    </row>
    <row r="67" spans="1:6" x14ac:dyDescent="0.4">
      <c r="A67" t="str">
        <f>[1]!OPBOARD(I1,"C","24000","買気配フラグ6","N225op")</f>
        <v/>
      </c>
      <c r="B67" t="str">
        <f>[1]!OPBOARD(I1,"C","24000","買気配フラグ6","N225op")</f>
        <v/>
      </c>
      <c r="C67" t="str">
        <f>[1]!OPBOARD(I1,"C","23875","買気配フラグ6","N225op")</f>
        <v/>
      </c>
      <c r="D67" t="str">
        <f>[1]!OPBOARD(I1,"P","23875","買気配フラグ6","N225op")</f>
        <v>Y</v>
      </c>
      <c r="E67" t="str">
        <f>[1]!OPBOARD(I1,"P","23750","買気配フラグ6","N225op")</f>
        <v>Y</v>
      </c>
      <c r="F67" t="str">
        <f>[1]!OPBOARD(I1,"C","23750","買気配フラグ6","N225op")</f>
        <v/>
      </c>
    </row>
    <row r="68" spans="1:6" x14ac:dyDescent="0.4">
      <c r="A68">
        <f>[1]!OPBOARD(I1,"C","24000","気配値6","N225op")</f>
        <v>11</v>
      </c>
      <c r="B68">
        <f>[1]!OPBOARD(I1,"C","24000","気配値6","N225op")</f>
        <v>11</v>
      </c>
      <c r="C68">
        <f>[1]!OPBOARD(I1,"C","23875","気配値6","N225op")</f>
        <v>13</v>
      </c>
      <c r="D68">
        <f>[1]!OPBOARD(I1,"P","23875","気配値6","N225op")</f>
        <v>1</v>
      </c>
      <c r="E68">
        <f>[1]!OPBOARD(I1,"P","23750","気配値6","N225op")</f>
        <v>2</v>
      </c>
      <c r="F68">
        <f>[1]!OPBOARD(I1,"C","23750","気配値6","N225op")</f>
        <v>15</v>
      </c>
    </row>
    <row r="69" spans="1:6" x14ac:dyDescent="0.4">
      <c r="A69">
        <f>[1]!OPBOARD(I1,"C","24000","出来高6","N225op")</f>
        <v>45</v>
      </c>
      <c r="B69">
        <f>[1]!OPBOARD(I1,"C","24000","出来高6","N225op")</f>
        <v>45</v>
      </c>
      <c r="C69">
        <f>[1]!OPBOARD(I1,"C","23875","出来高6","N225op")</f>
        <v>24</v>
      </c>
      <c r="D69">
        <f>[1]!OPBOARD(I1,"P","23875","出来高6","N225op")</f>
        <v>0</v>
      </c>
      <c r="E69">
        <f>[1]!OPBOARD(I1,"P","23750","出来高6","N225op")</f>
        <v>0</v>
      </c>
      <c r="F69">
        <f>[1]!OPBOARD(I1,"C","23750","出来高6","N225op")</f>
        <v>23</v>
      </c>
    </row>
    <row r="70" spans="1:6" x14ac:dyDescent="0.4">
      <c r="A70">
        <f>[1]!OPBOARD(I1,"C","24000","売気配数量7","N225op")</f>
        <v>0</v>
      </c>
      <c r="B70">
        <f>[1]!OPBOARD(I1,"C","24000","売気配数量7","N225op")</f>
        <v>0</v>
      </c>
      <c r="C70">
        <f>[1]!OPBOARD(I1,"C","23875","売気配数量7","N225op")</f>
        <v>0</v>
      </c>
      <c r="D70">
        <f>[1]!OPBOARD(I1,"P","23875","売気配数量7","N225op")</f>
        <v>0</v>
      </c>
      <c r="E70">
        <f>[1]!OPBOARD(I1,"P","23750","売気配数量7","N225op")</f>
        <v>0</v>
      </c>
      <c r="F70">
        <f>[1]!OPBOARD(I1,"C","23750","売気配数量7","N225op")</f>
        <v>0</v>
      </c>
    </row>
    <row r="71" spans="1:6" x14ac:dyDescent="0.4">
      <c r="A71">
        <f>[1]!OPBOARD(I1,"C","24000","買気配数量7","N225op")</f>
        <v>109</v>
      </c>
      <c r="B71">
        <f>[1]!OPBOARD(I1,"C","24000","買気配数量7","N225op")</f>
        <v>109</v>
      </c>
      <c r="C71">
        <f>[1]!OPBOARD(I1,"C","23875","買気配数量7","N225op")</f>
        <v>102</v>
      </c>
      <c r="D71">
        <f>[1]!OPBOARD(I1,"P","23875","買気配数量7","N225op")</f>
        <v>0</v>
      </c>
      <c r="E71">
        <f>[1]!OPBOARD(I1,"P","23750","買気配数量7","N225op")</f>
        <v>20</v>
      </c>
      <c r="F71">
        <f>[1]!OPBOARD(I1,"C","23750","買気配数量7","N225op")</f>
        <v>100</v>
      </c>
    </row>
    <row r="72" spans="1:6" x14ac:dyDescent="0.4">
      <c r="A72" t="str">
        <f>[1]!OPBOARD(I1,"C","24000","売気配フラグ7","N225op")</f>
        <v/>
      </c>
      <c r="B72" t="str">
        <f>[1]!OPBOARD(I1,"C","24000","売気配フラグ7","N225op")</f>
        <v/>
      </c>
      <c r="C72" t="str">
        <f>[1]!OPBOARD(I1,"C","23875","売気配フラグ7","N225op")</f>
        <v/>
      </c>
      <c r="D72" t="str">
        <f>[1]!OPBOARD(I1,"P","23875","売気配フラグ7","N225op")</f>
        <v/>
      </c>
      <c r="E72" t="str">
        <f>[1]!OPBOARD(I1,"P","23750","売気配フラグ7","N225op")</f>
        <v/>
      </c>
      <c r="F72" t="str">
        <f>[1]!OPBOARD(I1,"C","23750","売気配フラグ7","N225op")</f>
        <v/>
      </c>
    </row>
    <row r="73" spans="1:6" x14ac:dyDescent="0.4">
      <c r="A73" t="str">
        <f>[1]!OPBOARD(I1,"C","24000","買気配フラグ7","N225op")</f>
        <v/>
      </c>
      <c r="B73" t="str">
        <f>[1]!OPBOARD(I1,"C","24000","買気配フラグ7","N225op")</f>
        <v/>
      </c>
      <c r="C73" t="str">
        <f>[1]!OPBOARD(I1,"C","23875","買気配フラグ7","N225op")</f>
        <v/>
      </c>
      <c r="D73" t="str">
        <f>[1]!OPBOARD(I1,"P","23875","買気配フラグ7","N225op")</f>
        <v/>
      </c>
      <c r="E73" t="str">
        <f>[1]!OPBOARD(I1,"P","23750","買気配フラグ7","N225op")</f>
        <v/>
      </c>
      <c r="F73" t="str">
        <f>[1]!OPBOARD(I1,"C","23750","買気配フラグ7","N225op")</f>
        <v/>
      </c>
    </row>
    <row r="74" spans="1:6" x14ac:dyDescent="0.4">
      <c r="A74">
        <f>[1]!OPBOARD(I1,"C","24000","気配値7","N225op")</f>
        <v>10</v>
      </c>
      <c r="B74">
        <f>[1]!OPBOARD(I1,"C","24000","気配値7","N225op")</f>
        <v>10</v>
      </c>
      <c r="C74">
        <f>[1]!OPBOARD(I1,"C","23875","気配値7","N225op")</f>
        <v>12</v>
      </c>
      <c r="D74">
        <f>[1]!OPBOARD(I1,"P","23875","気配値7","N225op")</f>
        <v>0</v>
      </c>
      <c r="E74">
        <f>[1]!OPBOARD(I1,"P","23750","気配値7","N225op")</f>
        <v>1</v>
      </c>
      <c r="F74">
        <f>[1]!OPBOARD(I1,"C","23750","気配値7","N225op")</f>
        <v>14</v>
      </c>
    </row>
    <row r="75" spans="1:6" x14ac:dyDescent="0.4">
      <c r="A75">
        <f>[1]!OPBOARD(I1,"C","24000","出来高7","N225op")</f>
        <v>42</v>
      </c>
      <c r="B75">
        <f>[1]!OPBOARD(I1,"C","24000","出来高7","N225op")</f>
        <v>42</v>
      </c>
      <c r="C75">
        <f>[1]!OPBOARD(I1,"C","23875","出来高7","N225op")</f>
        <v>35</v>
      </c>
      <c r="D75">
        <f>[1]!OPBOARD(I1,"P","23875","出来高7","N225op")</f>
        <v>0</v>
      </c>
      <c r="E75">
        <f>[1]!OPBOARD(I1,"P","23750","出来高7","N225op")</f>
        <v>0</v>
      </c>
      <c r="F75">
        <f>[1]!OPBOARD(I1,"C","23750","出来高7","N225op")</f>
        <v>3</v>
      </c>
    </row>
    <row r="76" spans="1:6" x14ac:dyDescent="0.4">
      <c r="A76">
        <f>[1]!OPBOARD(I1,"C","24000","売気配数量8","N225op")</f>
        <v>0</v>
      </c>
      <c r="B76">
        <f>[1]!OPBOARD(I1,"C","24000","売気配数量8","N225op")</f>
        <v>0</v>
      </c>
      <c r="C76">
        <f>[1]!OPBOARD(I1,"C","23875","売気配数量8","N225op")</f>
        <v>0</v>
      </c>
      <c r="D76">
        <f>[1]!OPBOARD(I1,"P","23875","売気配数量8","N225op")</f>
        <v>0</v>
      </c>
      <c r="E76">
        <f>[1]!OPBOARD(I1,"P","23750","売気配数量8","N225op")</f>
        <v>0</v>
      </c>
      <c r="F76">
        <f>[1]!OPBOARD(I1,"C","23750","売気配数量8","N225op")</f>
        <v>0</v>
      </c>
    </row>
    <row r="77" spans="1:6" x14ac:dyDescent="0.4">
      <c r="A77">
        <f>[1]!OPBOARD(I1,"C","24000","買気配数量8","N225op")</f>
        <v>145</v>
      </c>
      <c r="B77">
        <f>[1]!OPBOARD(I1,"C","24000","買気配数量8","N225op")</f>
        <v>145</v>
      </c>
      <c r="C77">
        <f>[1]!OPBOARD(I1,"C","23875","買気配数量8","N225op")</f>
        <v>134</v>
      </c>
      <c r="D77">
        <f>[1]!OPBOARD(I1,"P","23875","買気配数量8","N225op")</f>
        <v>0</v>
      </c>
      <c r="E77">
        <f>[1]!OPBOARD(I1,"P","23750","買気配数量8","N225op")</f>
        <v>0</v>
      </c>
      <c r="F77">
        <f>[1]!OPBOARD(I1,"C","23750","買気配数量8","N225op")</f>
        <v>134</v>
      </c>
    </row>
    <row r="78" spans="1:6" x14ac:dyDescent="0.4">
      <c r="A78" t="str">
        <f>[1]!OPBOARD(I1,"C","24000","売気配フラグ8","N225op")</f>
        <v/>
      </c>
      <c r="B78" t="str">
        <f>[1]!OPBOARD(I1,"C","24000","売気配フラグ8","N225op")</f>
        <v/>
      </c>
      <c r="C78" t="str">
        <f>[1]!OPBOARD(I1,"C","23875","売気配フラグ8","N225op")</f>
        <v/>
      </c>
      <c r="D78" t="str">
        <f>[1]!OPBOARD(I1,"P","23875","売気配フラグ8","N225op")</f>
        <v/>
      </c>
      <c r="E78" t="str">
        <f>[1]!OPBOARD(I1,"P","23750","売気配フラグ8","N225op")</f>
        <v/>
      </c>
      <c r="F78" t="str">
        <f>[1]!OPBOARD(I1,"C","23750","売気配フラグ8","N225op")</f>
        <v/>
      </c>
    </row>
    <row r="79" spans="1:6" x14ac:dyDescent="0.4">
      <c r="A79" t="str">
        <f>[1]!OPBOARD(I1,"C","24000","買気配フラグ8","N225op")</f>
        <v/>
      </c>
      <c r="B79" t="str">
        <f>[1]!OPBOARD(I1,"C","24000","買気配フラグ8","N225op")</f>
        <v/>
      </c>
      <c r="C79" t="str">
        <f>[1]!OPBOARD(I1,"C","23875","買気配フラグ8","N225op")</f>
        <v/>
      </c>
      <c r="D79" t="str">
        <f>[1]!OPBOARD(I1,"P","23875","買気配フラグ8","N225op")</f>
        <v/>
      </c>
      <c r="E79" t="str">
        <f>[1]!OPBOARD(I1,"P","23750","買気配フラグ8","N225op")</f>
        <v/>
      </c>
      <c r="F79" t="str">
        <f>[1]!OPBOARD(I1,"C","23750","買気配フラグ8","N225op")</f>
        <v/>
      </c>
    </row>
    <row r="80" spans="1:6" x14ac:dyDescent="0.4">
      <c r="A80">
        <f>[1]!OPBOARD(I1,"C","24000","気配値8","N225op")</f>
        <v>9</v>
      </c>
      <c r="B80">
        <f>[1]!OPBOARD(I1,"C","24000","気配値8","N225op")</f>
        <v>9</v>
      </c>
      <c r="C80">
        <f>[1]!OPBOARD(I1,"C","23875","気配値8","N225op")</f>
        <v>11</v>
      </c>
      <c r="D80">
        <f>[1]!OPBOARD(I1,"P","23875","気配値8","N225op")</f>
        <v>0</v>
      </c>
      <c r="E80">
        <f>[1]!OPBOARD(I1,"P","23750","気配値8","N225op")</f>
        <v>0</v>
      </c>
      <c r="F80">
        <f>[1]!OPBOARD(I1,"C","23750","気配値8","N225op")</f>
        <v>13</v>
      </c>
    </row>
    <row r="81" spans="1:6" x14ac:dyDescent="0.4">
      <c r="A81">
        <f>[1]!OPBOARD(I1,"C","24000","出来高8","N225op")</f>
        <v>45</v>
      </c>
      <c r="B81">
        <f>[1]!OPBOARD(I1,"C","24000","出来高8","N225op")</f>
        <v>45</v>
      </c>
      <c r="C81">
        <f>[1]!OPBOARD(I1,"C","23875","出来高8","N225op")</f>
        <v>16</v>
      </c>
      <c r="D81">
        <f>[1]!OPBOARD(I1,"P","23875","出来高8","N225op")</f>
        <v>0</v>
      </c>
      <c r="E81">
        <f>[1]!OPBOARD(I1,"P","23750","出来高8","N225op")</f>
        <v>0</v>
      </c>
      <c r="F81">
        <f>[1]!OPBOARD(I1,"C","23750","出来高8","N225op")</f>
        <v>29</v>
      </c>
    </row>
    <row r="82" spans="1:6" x14ac:dyDescent="0.4">
      <c r="A82">
        <f>[1]!OPBOARD(I1,"C","24000","売気配数量9","N225op")</f>
        <v>0</v>
      </c>
      <c r="B82">
        <f>[1]!OPBOARD(I1,"C","24000","売気配数量9","N225op")</f>
        <v>0</v>
      </c>
      <c r="C82">
        <f>[1]!OPBOARD(I1,"C","23875","売気配数量9","N225op")</f>
        <v>0</v>
      </c>
      <c r="D82">
        <f>[1]!OPBOARD(I1,"P","23875","売気配数量9","N225op")</f>
        <v>0</v>
      </c>
      <c r="E82">
        <f>[1]!OPBOARD(I1,"P","23750","売気配数量9","N225op")</f>
        <v>0</v>
      </c>
      <c r="F82">
        <f>[1]!OPBOARD(I1,"C","23750","売気配数量9","N225op")</f>
        <v>0</v>
      </c>
    </row>
    <row r="83" spans="1:6" x14ac:dyDescent="0.4">
      <c r="A83">
        <f>[1]!OPBOARD(I1,"C","24000","買気配数量9","N225op")</f>
        <v>129</v>
      </c>
      <c r="B83">
        <f>[1]!OPBOARD(I1,"C","24000","買気配数量9","N225op")</f>
        <v>129</v>
      </c>
      <c r="C83">
        <f>[1]!OPBOARD(I1,"C","23875","買気配数量9","N225op")</f>
        <v>107</v>
      </c>
      <c r="D83">
        <f>[1]!OPBOARD(I1,"P","23875","買気配数量9","N225op")</f>
        <v>0</v>
      </c>
      <c r="E83">
        <f>[1]!OPBOARD(I1,"P","23750","買気配数量9","N225op")</f>
        <v>0</v>
      </c>
      <c r="F83">
        <f>[1]!OPBOARD(I1,"C","23750","買気配数量9","N225op")</f>
        <v>105</v>
      </c>
    </row>
    <row r="84" spans="1:6" x14ac:dyDescent="0.4">
      <c r="A84" t="str">
        <f>[1]!OPBOARD(I1,"C","24000","売気配フラグ9","N225op")</f>
        <v/>
      </c>
      <c r="B84" t="str">
        <f>[1]!OPBOARD(I1,"C","24000","売気配フラグ9","N225op")</f>
        <v/>
      </c>
      <c r="C84" t="str">
        <f>[1]!OPBOARD(I1,"C","23875","売気配フラグ9","N225op")</f>
        <v/>
      </c>
      <c r="D84" t="str">
        <f>[1]!OPBOARD(I1,"P","23875","売気配フラグ9","N225op")</f>
        <v/>
      </c>
      <c r="E84" t="str">
        <f>[1]!OPBOARD(I1,"P","23750","売気配フラグ9","N225op")</f>
        <v/>
      </c>
      <c r="F84" t="str">
        <f>[1]!OPBOARD(I1,"C","23750","売気配フラグ9","N225op")</f>
        <v/>
      </c>
    </row>
    <row r="85" spans="1:6" x14ac:dyDescent="0.4">
      <c r="A85" t="str">
        <f>[1]!OPBOARD(I1,"C","24000","買気配フラグ9","N225op")</f>
        <v/>
      </c>
      <c r="B85" t="str">
        <f>[1]!OPBOARD(I1,"C","24000","買気配フラグ9","N225op")</f>
        <v/>
      </c>
      <c r="C85" t="str">
        <f>[1]!OPBOARD(I1,"C","23875","買気配フラグ9","N225op")</f>
        <v/>
      </c>
      <c r="D85" t="str">
        <f>[1]!OPBOARD(I1,"P","23875","買気配フラグ9","N225op")</f>
        <v/>
      </c>
      <c r="E85" t="str">
        <f>[1]!OPBOARD(I1,"P","23750","買気配フラグ9","N225op")</f>
        <v/>
      </c>
      <c r="F85" t="str">
        <f>[1]!OPBOARD(I1,"C","23750","買気配フラグ9","N225op")</f>
        <v/>
      </c>
    </row>
    <row r="86" spans="1:6" x14ac:dyDescent="0.4">
      <c r="A86">
        <f>[1]!OPBOARD(I1,"C","24000","気配値9","N225op")</f>
        <v>8</v>
      </c>
      <c r="B86">
        <f>[1]!OPBOARD(I1,"C","24000","気配値9","N225op")</f>
        <v>8</v>
      </c>
      <c r="C86">
        <f>[1]!OPBOARD(I1,"C","23875","気配値9","N225op")</f>
        <v>10</v>
      </c>
      <c r="D86">
        <f>[1]!OPBOARD(I1,"P","23875","気配値9","N225op")</f>
        <v>0</v>
      </c>
      <c r="E86">
        <f>[1]!OPBOARD(I1,"P","23750","気配値9","N225op")</f>
        <v>0</v>
      </c>
      <c r="F86">
        <f>[1]!OPBOARD(I1,"C","23750","気配値9","N225op")</f>
        <v>12</v>
      </c>
    </row>
    <row r="87" spans="1:6" x14ac:dyDescent="0.4">
      <c r="A87">
        <f>[1]!OPBOARD(I1,"C","24000","出来高9","N225op")</f>
        <v>0</v>
      </c>
      <c r="B87">
        <f>[1]!OPBOARD(I1,"C","24000","出来高9","N225op")</f>
        <v>0</v>
      </c>
      <c r="C87">
        <f>[1]!OPBOARD(I1,"C","23875","出来高9","N225op")</f>
        <v>1</v>
      </c>
      <c r="D87">
        <f>[1]!OPBOARD(I1,"P","23875","出来高9","N225op")</f>
        <v>0</v>
      </c>
      <c r="E87">
        <f>[1]!OPBOARD(I1,"P","23750","出来高9","N225op")</f>
        <v>0</v>
      </c>
      <c r="F87">
        <f>[1]!OPBOARD(I1,"C","23750","出来高9","N225op")</f>
        <v>17</v>
      </c>
    </row>
    <row r="88" spans="1:6" x14ac:dyDescent="0.4">
      <c r="A88">
        <f>[1]!OPBOARD(I1,"C","24000","売気配数量11","N225op")</f>
        <v>0</v>
      </c>
      <c r="B88">
        <f>[1]!OPBOARD(I1,"C","24000","売気配数量10","N225op")</f>
        <v>0</v>
      </c>
      <c r="C88">
        <f>[1]!OPBOARD(I1,"C","23875","売気配数量10","N225op")</f>
        <v>0</v>
      </c>
      <c r="D88">
        <f>[1]!OPBOARD(I1,"P","23875","売気配数量10","N225op")</f>
        <v>0</v>
      </c>
      <c r="E88">
        <f>[1]!OPBOARD(I1,"P","23750","売気配数量10","N225op")</f>
        <v>0</v>
      </c>
      <c r="F88">
        <f>[1]!OPBOARD(I1,"C","23750","売気配数量10","N225op")</f>
        <v>0</v>
      </c>
    </row>
    <row r="89" spans="1:6" x14ac:dyDescent="0.4">
      <c r="A89">
        <f>[1]!OPBOARD(I1,"C","24000","買気配数量11","N225op")</f>
        <v>82</v>
      </c>
      <c r="B89">
        <f>[1]!OPBOARD(I1,"C","24000","買気配数量10","N225op")</f>
        <v>148</v>
      </c>
      <c r="C89">
        <f>[1]!OPBOARD(I1,"C","23875","買気配数量10","N225op")</f>
        <v>75</v>
      </c>
      <c r="D89">
        <f>[1]!OPBOARD(I1,"P","23875","買気配数量10","N225op")</f>
        <v>0</v>
      </c>
      <c r="E89">
        <f>[1]!OPBOARD(I1,"P","23750","買気配数量10","N225op")</f>
        <v>0</v>
      </c>
      <c r="F89">
        <f>[1]!OPBOARD(I1,"C","23750","買気配数量10","N225op")</f>
        <v>95</v>
      </c>
    </row>
    <row r="90" spans="1:6" x14ac:dyDescent="0.4">
      <c r="A90" t="str">
        <f>[1]!OPBOARD(I1,"C","24000","売気配フラグ11","N225op")</f>
        <v/>
      </c>
      <c r="B90" t="str">
        <f>[1]!OPBOARD(I1,"C","24000","売気配フラグ10","N225op")</f>
        <v/>
      </c>
      <c r="C90" t="str">
        <f>[1]!OPBOARD(I1,"C","23875","売気配フラグ10","N225op")</f>
        <v/>
      </c>
      <c r="D90" t="str">
        <f>[1]!OPBOARD(I1,"P","23875","売気配フラグ10","N225op")</f>
        <v/>
      </c>
      <c r="E90" t="str">
        <f>[1]!OPBOARD(I1,"P","23750","売気配フラグ10","N225op")</f>
        <v/>
      </c>
      <c r="F90" t="str">
        <f>[1]!OPBOARD(I1,"C","23750","売気配フラグ10","N225op")</f>
        <v/>
      </c>
    </row>
    <row r="91" spans="1:6" x14ac:dyDescent="0.4">
      <c r="A91" t="str">
        <f>[1]!OPBOARD(I1,"C","24000","買気配フラグ11","N225op")</f>
        <v/>
      </c>
      <c r="B91" t="str">
        <f>[1]!OPBOARD(I1,"C","24000","買気配フラグ10","N225op")</f>
        <v/>
      </c>
      <c r="C91" t="str">
        <f>[1]!OPBOARD(I1,"C","23875","買気配フラグ10","N225op")</f>
        <v/>
      </c>
      <c r="D91" t="str">
        <f>[1]!OPBOARD(I1,"P","23875","買気配フラグ10","N225op")</f>
        <v/>
      </c>
      <c r="E91" t="str">
        <f>[1]!OPBOARD(I1,"P","23750","買気配フラグ10","N225op")</f>
        <v/>
      </c>
      <c r="F91" t="str">
        <f>[1]!OPBOARD(I1,"C","23750","買気配フラグ10","N225op")</f>
        <v/>
      </c>
    </row>
    <row r="92" spans="1:6" x14ac:dyDescent="0.4">
      <c r="A92">
        <f>[1]!OPBOARD(I1,"C","24000","気配値11","N225op")</f>
        <v>6</v>
      </c>
      <c r="B92">
        <f>[1]!OPBOARD(I1,"C","24000","気配値10","N225op")</f>
        <v>7</v>
      </c>
      <c r="C92">
        <f>[1]!OPBOARD(I1,"C","23875","気配値10","N225op")</f>
        <v>9</v>
      </c>
      <c r="D92">
        <f>[1]!OPBOARD(I1,"P","23875","気配値10","N225op")</f>
        <v>0</v>
      </c>
      <c r="E92">
        <f>[1]!OPBOARD(I1,"P","23750","気配値10","N225op")</f>
        <v>0</v>
      </c>
      <c r="F92">
        <f>[1]!OPBOARD(I1,"C","23750","気配値10","N225op")</f>
        <v>11</v>
      </c>
    </row>
    <row r="93" spans="1:6" x14ac:dyDescent="0.4">
      <c r="A93">
        <f>[1]!OPBOARD(I1,"C","24000","出来高11","N225op")</f>
        <v>0</v>
      </c>
      <c r="B93">
        <f>[1]!OPBOARD(I1,"C","24000","出来高10","N225op")</f>
        <v>0</v>
      </c>
      <c r="C93">
        <f>[1]!OPBOARD(I1,"C","23875","出来高10","N225op")</f>
        <v>0</v>
      </c>
      <c r="D93">
        <f>[1]!OPBOARD(I1,"P","23875","出来高10","N225op")</f>
        <v>0</v>
      </c>
      <c r="E93">
        <f>[1]!OPBOARD(I1,"P","23750","出来高10","N225op")</f>
        <v>0</v>
      </c>
      <c r="F93">
        <f>[1]!OPBOARD(I1,"C","23750","出来高10","N225op")</f>
        <v>0</v>
      </c>
    </row>
    <row r="94" spans="1:6" x14ac:dyDescent="0.4">
      <c r="A94">
        <f>[1]!OPBOARD(I1,"C","24000","売気配数量11","N225op")</f>
        <v>0</v>
      </c>
      <c r="B94">
        <f>[1]!OPBOARD(I1,"C","24000","売気配数量11","N225op")</f>
        <v>0</v>
      </c>
      <c r="C94">
        <f>[1]!OPBOARD(I1,"C","23875","売気配数量11","N225op")</f>
        <v>0</v>
      </c>
      <c r="D94">
        <f>[1]!OPBOARD(I1,"P","23875","売気配数量11","N225op")</f>
        <v>0</v>
      </c>
      <c r="E94">
        <f>[1]!OPBOARD(I1,"P","23750","売気配数量11","N225op")</f>
        <v>0</v>
      </c>
      <c r="F94">
        <f>[1]!OPBOARD(I1,"C","23750","売気配数量11","N225op")</f>
        <v>0</v>
      </c>
    </row>
    <row r="95" spans="1:6" x14ac:dyDescent="0.4">
      <c r="A95">
        <f>[1]!OPBOARD(I1,"C","24000","買気配数量11","N225op")</f>
        <v>82</v>
      </c>
      <c r="B95">
        <f>[1]!OPBOARD(I1,"C","24000","買気配数量11","N225op")</f>
        <v>82</v>
      </c>
      <c r="C95">
        <f>[1]!OPBOARD(I1,"C","23875","買気配数量11","N225op")</f>
        <v>40</v>
      </c>
      <c r="D95">
        <f>[1]!OPBOARD(I1,"P","23875","買気配数量11","N225op")</f>
        <v>0</v>
      </c>
      <c r="E95">
        <f>[1]!OPBOARD(I1,"P","23750","買気配数量11","N225op")</f>
        <v>0</v>
      </c>
      <c r="F95">
        <f>[1]!OPBOARD(I1,"C","23750","買気配数量11","N225op")</f>
        <v>34</v>
      </c>
    </row>
    <row r="96" spans="1:6" x14ac:dyDescent="0.4">
      <c r="A96" t="str">
        <f>[1]!OPBOARD(I1,"C","24000","売気配フラグ11","N225op")</f>
        <v/>
      </c>
      <c r="B96" t="str">
        <f>[1]!OPBOARD(I1,"C","24000","売気配フラグ11","N225op")</f>
        <v/>
      </c>
      <c r="C96" t="str">
        <f>[1]!OPBOARD(I1,"C","23875","売気配フラグ11","N225op")</f>
        <v/>
      </c>
      <c r="D96" t="str">
        <f>[1]!OPBOARD(I1,"P","23875","売気配フラグ11","N225op")</f>
        <v/>
      </c>
      <c r="E96" t="str">
        <f>[1]!OPBOARD(I1,"P","23750","売気配フラグ11","N225op")</f>
        <v/>
      </c>
      <c r="F96" t="str">
        <f>[1]!OPBOARD(I1,"C","23750","売気配フラグ11","N225op")</f>
        <v/>
      </c>
    </row>
    <row r="97" spans="1:6" x14ac:dyDescent="0.4">
      <c r="A97" t="str">
        <f>[1]!OPBOARD(I1,"C","24000","買気配フラグ11","N225op")</f>
        <v/>
      </c>
      <c r="B97" t="str">
        <f>[1]!OPBOARD(I1,"C","24000","買気配フラグ11","N225op")</f>
        <v/>
      </c>
      <c r="C97" t="str">
        <f>[1]!OPBOARD(I1,"C","23875","買気配フラグ11","N225op")</f>
        <v/>
      </c>
      <c r="D97" t="str">
        <f>[1]!OPBOARD(I1,"P","23875","買気配フラグ11","N225op")</f>
        <v/>
      </c>
      <c r="E97" t="str">
        <f>[1]!OPBOARD(I1,"P","23750","買気配フラグ11","N225op")</f>
        <v/>
      </c>
      <c r="F97" t="str">
        <f>[1]!OPBOARD(I1,"C","23750","買気配フラグ11","N225op")</f>
        <v/>
      </c>
    </row>
    <row r="98" spans="1:6" x14ac:dyDescent="0.4">
      <c r="A98">
        <f>[1]!OPBOARD(I1,"C","24000","気配値11","N225op")</f>
        <v>6</v>
      </c>
      <c r="B98">
        <f>[1]!OPBOARD(I1,"C","24000","気配値11","N225op")</f>
        <v>6</v>
      </c>
      <c r="C98">
        <f>[1]!OPBOARD(I1,"C","23875","気配値11","N225op")</f>
        <v>8</v>
      </c>
      <c r="D98">
        <f>[1]!OPBOARD(I1,"P","23875","気配値11","N225op")</f>
        <v>0</v>
      </c>
      <c r="E98">
        <f>[1]!OPBOARD(I1,"P","23750","気配値11","N225op")</f>
        <v>0</v>
      </c>
      <c r="F98">
        <f>[1]!OPBOARD(I1,"C","23750","気配値11","N225op")</f>
        <v>10</v>
      </c>
    </row>
    <row r="99" spans="1:6" x14ac:dyDescent="0.4">
      <c r="A99">
        <f>[1]!OPBOARD(I1,"C","24000","出来高11","N225op")</f>
        <v>0</v>
      </c>
      <c r="B99">
        <f>[1]!OPBOARD(I1,"C","24000","出来高11","N225op")</f>
        <v>0</v>
      </c>
      <c r="C99">
        <f>[1]!OPBOARD(I1,"C","23875","出来高11","N225op")</f>
        <v>0</v>
      </c>
      <c r="D99">
        <f>[1]!OPBOARD(I1,"P","23875","出来高11","N225op")</f>
        <v>0</v>
      </c>
      <c r="E99">
        <f>[1]!OPBOARD(I1,"P","23750","出来高11","N225op")</f>
        <v>0</v>
      </c>
      <c r="F99">
        <f>[1]!OPBOARD(I1,"C","23750","出来高11","N225op")</f>
        <v>0</v>
      </c>
    </row>
    <row r="100" spans="1:6" x14ac:dyDescent="0.4">
      <c r="A100">
        <f>[1]!OPBOARD(I1,"C","24000","売気配数量12","N225op")</f>
        <v>0</v>
      </c>
      <c r="B100">
        <f>[1]!OPBOARD(I1,"C","24000","売気配数量12","N225op")</f>
        <v>0</v>
      </c>
      <c r="C100">
        <f>[1]!OPBOARD(I1,"C","23875","売気配数量12","N225op")</f>
        <v>0</v>
      </c>
      <c r="D100">
        <f>[1]!OPBOARD(I1,"P","23875","売気配数量12","N225op")</f>
        <v>0</v>
      </c>
      <c r="E100">
        <f>[1]!OPBOARD(I1,"P","23750","売気配数量12","N225op")</f>
        <v>0</v>
      </c>
      <c r="F100">
        <f>[1]!OPBOARD(I1,"C","23750","売気配数量12","N225op")</f>
        <v>0</v>
      </c>
    </row>
    <row r="101" spans="1:6" x14ac:dyDescent="0.4">
      <c r="A101">
        <f>[1]!OPBOARD(I1,"C","24000","買気配数量12","N225op")</f>
        <v>48</v>
      </c>
      <c r="B101">
        <f>[1]!OPBOARD(I1,"C","24000","買気配数量12","N225op")</f>
        <v>48</v>
      </c>
      <c r="C101">
        <f>[1]!OPBOARD(I1,"C","23875","買気配数量12","N225op")</f>
        <v>2</v>
      </c>
      <c r="D101">
        <f>[1]!OPBOARD(I1,"P","23875","買気配数量12","N225op")</f>
        <v>0</v>
      </c>
      <c r="E101">
        <f>[1]!OPBOARD(I1,"P","23750","買気配数量12","N225op")</f>
        <v>0</v>
      </c>
      <c r="F101">
        <f>[1]!OPBOARD(I1,"C","23750","買気配数量12","N225op")</f>
        <v>30</v>
      </c>
    </row>
    <row r="102" spans="1:6" x14ac:dyDescent="0.4">
      <c r="A102" t="str">
        <f>[1]!OPBOARD(I1,"C","24000","売気配フラグ12","N225op")</f>
        <v/>
      </c>
      <c r="B102" t="str">
        <f>[1]!OPBOARD(I1,"C","24000","売気配フラグ12","N225op")</f>
        <v/>
      </c>
      <c r="C102" t="str">
        <f>[1]!OPBOARD(I1,"C","23875","売気配フラグ12","N225op")</f>
        <v/>
      </c>
      <c r="D102" t="str">
        <f>[1]!OPBOARD(I1,"P","23875","売気配フラグ12","N225op")</f>
        <v/>
      </c>
      <c r="E102" t="str">
        <f>[1]!OPBOARD(I1,"P","23750","売気配フラグ12","N225op")</f>
        <v/>
      </c>
      <c r="F102" t="str">
        <f>[1]!OPBOARD(I1,"C","23750","売気配フラグ12","N225op")</f>
        <v/>
      </c>
    </row>
    <row r="103" spans="1:6" x14ac:dyDescent="0.4">
      <c r="A103" t="str">
        <f>[1]!OPBOARD(I1,"C","24000","買気配フラグ12","N225op")</f>
        <v/>
      </c>
      <c r="B103" t="str">
        <f>[1]!OPBOARD(I1,"C","24000","買気配フラグ12","N225op")</f>
        <v/>
      </c>
      <c r="C103" t="str">
        <f>[1]!OPBOARD(I1,"C","23875","買気配フラグ12","N225op")</f>
        <v/>
      </c>
      <c r="D103" t="str">
        <f>[1]!OPBOARD(I1,"P","23875","買気配フラグ12","N225op")</f>
        <v/>
      </c>
      <c r="E103" t="str">
        <f>[1]!OPBOARD(I1,"P","23750","買気配フラグ12","N225op")</f>
        <v/>
      </c>
      <c r="F103" t="str">
        <f>[1]!OPBOARD(I1,"C","23750","買気配フラグ12","N225op")</f>
        <v/>
      </c>
    </row>
    <row r="104" spans="1:6" x14ac:dyDescent="0.4">
      <c r="A104">
        <f>[1]!OPBOARD(I1,"C","24000","気配値12","N225op")</f>
        <v>5</v>
      </c>
      <c r="B104">
        <f>[1]!OPBOARD(I1,"C","24000","気配値12","N225op")</f>
        <v>5</v>
      </c>
      <c r="C104">
        <f>[1]!OPBOARD(I1,"C","23875","気配値12","N225op")</f>
        <v>7</v>
      </c>
      <c r="D104">
        <f>[1]!OPBOARD(I1,"P","23875","気配値12","N225op")</f>
        <v>0</v>
      </c>
      <c r="E104">
        <f>[1]!OPBOARD(I1,"P","23750","気配値12","N225op")</f>
        <v>0</v>
      </c>
      <c r="F104">
        <f>[1]!OPBOARD(I1,"C","23750","気配値12","N225op")</f>
        <v>9</v>
      </c>
    </row>
    <row r="105" spans="1:6" x14ac:dyDescent="0.4">
      <c r="A105">
        <f>[1]!OPBOARD(I1,"C","24000","出来高12","N225op")</f>
        <v>0</v>
      </c>
      <c r="B105">
        <f>[1]!OPBOARD(I1,"C","24000","出来高12","N225op")</f>
        <v>0</v>
      </c>
      <c r="C105">
        <f>[1]!OPBOARD(I1,"C","23875","出来高12","N225op")</f>
        <v>0</v>
      </c>
      <c r="D105">
        <f>[1]!OPBOARD(I1,"P","23875","出来高12","N225op")</f>
        <v>0</v>
      </c>
      <c r="E105">
        <f>[1]!OPBOARD(I1,"P","23750","出来高12","N225op")</f>
        <v>0</v>
      </c>
      <c r="F105">
        <f>[1]!OPBOARD(I1,"C","23750","出来高12","N225op")</f>
        <v>0</v>
      </c>
    </row>
    <row r="106" spans="1:6" x14ac:dyDescent="0.4">
      <c r="A106">
        <f>[1]!OPBOARD(I1,"C","24000","売気配数量13","N225op")</f>
        <v>0</v>
      </c>
      <c r="B106">
        <f>[1]!OPBOARD(I1,"C","24000","売気配数量13","N225op")</f>
        <v>0</v>
      </c>
      <c r="C106">
        <f>[1]!OPBOARD(I1,"C","23875","売気配数量13","N225op")</f>
        <v>0</v>
      </c>
      <c r="D106">
        <f>[1]!OPBOARD(I1,"P","23875","売気配数量13","N225op")</f>
        <v>0</v>
      </c>
      <c r="E106">
        <f>[1]!OPBOARD(I1,"P","23750","売気配数量13","N225op")</f>
        <v>0</v>
      </c>
      <c r="F106">
        <f>[1]!OPBOARD(I1,"C","23750","売気配数量13","N225op")</f>
        <v>0</v>
      </c>
    </row>
    <row r="107" spans="1:6" x14ac:dyDescent="0.4">
      <c r="A107">
        <f>[1]!OPBOARD(I1,"C","24000","買気配数量13","N225op")</f>
        <v>59</v>
      </c>
      <c r="B107">
        <f>[1]!OPBOARD(I1,"C","24000","買気配数量13","N225op")</f>
        <v>59</v>
      </c>
      <c r="C107">
        <f>[1]!OPBOARD(I1,"C","23875","買気配数量13","N225op")</f>
        <v>1</v>
      </c>
      <c r="D107">
        <f>[1]!OPBOARD(I1,"P","23875","買気配数量13","N225op")</f>
        <v>0</v>
      </c>
      <c r="E107">
        <f>[1]!OPBOARD(I1,"P","23750","買気配数量13","N225op")</f>
        <v>0</v>
      </c>
      <c r="F107">
        <f>[1]!OPBOARD(I1,"C","23750","買気配数量13","N225op")</f>
        <v>31</v>
      </c>
    </row>
    <row r="108" spans="1:6" x14ac:dyDescent="0.4">
      <c r="A108" t="str">
        <f>[1]!OPBOARD(I1,"C","24000","売気配フラグ13","N225op")</f>
        <v/>
      </c>
      <c r="B108" t="str">
        <f>[1]!OPBOARD(I1,"C","24000","売気配フラグ13","N225op")</f>
        <v/>
      </c>
      <c r="C108" t="str">
        <f>[1]!OPBOARD(I1,"C","23875","売気配フラグ13","N225op")</f>
        <v/>
      </c>
      <c r="D108" t="str">
        <f>[1]!OPBOARD(I1,"P","23875","売気配フラグ13","N225op")</f>
        <v/>
      </c>
      <c r="E108" t="str">
        <f>[1]!OPBOARD(I1,"P","23750","売気配フラグ13","N225op")</f>
        <v/>
      </c>
      <c r="F108" t="str">
        <f>[1]!OPBOARD(I1,"C","23750","売気配フラグ13","N225op")</f>
        <v/>
      </c>
    </row>
    <row r="109" spans="1:6" x14ac:dyDescent="0.4">
      <c r="A109" t="str">
        <f>[1]!OPBOARD(I1,"C","24000","買気配フラグ13","N225op")</f>
        <v/>
      </c>
      <c r="B109" t="str">
        <f>[1]!OPBOARD(I1,"C","24000","買気配フラグ13","N225op")</f>
        <v/>
      </c>
      <c r="C109" t="str">
        <f>[1]!OPBOARD(I1,"C","23875","買気配フラグ13","N225op")</f>
        <v/>
      </c>
      <c r="D109" t="str">
        <f>[1]!OPBOARD(I1,"P","23875","買気配フラグ13","N225op")</f>
        <v/>
      </c>
      <c r="E109" t="str">
        <f>[1]!OPBOARD(I1,"P","23750","買気配フラグ13","N225op")</f>
        <v/>
      </c>
      <c r="F109" t="str">
        <f>[1]!OPBOARD(I1,"C","23750","買気配フラグ13","N225op")</f>
        <v/>
      </c>
    </row>
    <row r="110" spans="1:6" x14ac:dyDescent="0.4">
      <c r="A110">
        <f>[1]!OPBOARD(I1,"C","24000","気配値13","N225op")</f>
        <v>4</v>
      </c>
      <c r="B110">
        <f>[1]!OPBOARD(I1,"C","24000","気配値13","N225op")</f>
        <v>4</v>
      </c>
      <c r="C110">
        <f>[1]!OPBOARD(I1,"C","23875","気配値13","N225op")</f>
        <v>5</v>
      </c>
      <c r="D110">
        <f>[1]!OPBOARD(I1,"P","23875","気配値13","N225op")</f>
        <v>0</v>
      </c>
      <c r="E110">
        <f>[1]!OPBOARD(I1,"P","23750","気配値13","N225op")</f>
        <v>0</v>
      </c>
      <c r="F110">
        <f>[1]!OPBOARD(I1,"C","23750","気配値13","N225op")</f>
        <v>8</v>
      </c>
    </row>
    <row r="111" spans="1:6" x14ac:dyDescent="0.4">
      <c r="A111">
        <f>[1]!OPBOARD(I1,"C","24000","出来高13","N225op")</f>
        <v>0</v>
      </c>
      <c r="B111">
        <f>[1]!OPBOARD(I1,"C","24000","出来高13","N225op")</f>
        <v>0</v>
      </c>
      <c r="C111">
        <f>[1]!OPBOARD(I1,"C","23875","出来高13","N225op")</f>
        <v>0</v>
      </c>
      <c r="D111">
        <f>[1]!OPBOARD(I1,"P","23875","出来高13","N225op")</f>
        <v>0</v>
      </c>
      <c r="E111">
        <f>[1]!OPBOARD(I1,"P","23750","出来高13","N225op")</f>
        <v>0</v>
      </c>
      <c r="F111">
        <f>[1]!OPBOARD(I1,"C","23750","出来高13","N225op")</f>
        <v>0</v>
      </c>
    </row>
    <row r="112" spans="1:6" x14ac:dyDescent="0.4">
      <c r="A112">
        <f>[1]!OPBOARD(I1,"C","24000","売気配数量14","N225op")</f>
        <v>0</v>
      </c>
      <c r="B112">
        <f>[1]!OPBOARD(I1,"C","24000","売気配数量14","N225op")</f>
        <v>0</v>
      </c>
      <c r="C112">
        <f>[1]!OPBOARD(I1,"C","23875","売気配数量14","N225op")</f>
        <v>0</v>
      </c>
      <c r="D112">
        <f>[1]!OPBOARD(I1,"P","23875","売気配数量14","N225op")</f>
        <v>0</v>
      </c>
      <c r="E112">
        <f>[1]!OPBOARD(I1,"P","23750","売気配数量14","N225op")</f>
        <v>0</v>
      </c>
      <c r="F112">
        <f>[1]!OPBOARD(I1,"C","23750","売気配数量14","N225op")</f>
        <v>0</v>
      </c>
    </row>
    <row r="113" spans="1:6" x14ac:dyDescent="0.4">
      <c r="A113">
        <f>[1]!OPBOARD(I1,"C","24000","買気配数量14","N225op")</f>
        <v>43</v>
      </c>
      <c r="B113">
        <f>[1]!OPBOARD(I1,"C","24000","買気配数量14","N225op")</f>
        <v>43</v>
      </c>
      <c r="C113">
        <f>[1]!OPBOARD(I1,"C","23875","買気配数量14","N225op")</f>
        <v>20</v>
      </c>
      <c r="D113">
        <f>[1]!OPBOARD(I1,"P","23875","買気配数量14","N225op")</f>
        <v>0</v>
      </c>
      <c r="E113">
        <f>[1]!OPBOARD(I1,"P","23750","買気配数量14","N225op")</f>
        <v>0</v>
      </c>
      <c r="F113">
        <f>[1]!OPBOARD(I1,"C","23750","買気配数量14","N225op")</f>
        <v>11</v>
      </c>
    </row>
    <row r="114" spans="1:6" x14ac:dyDescent="0.4">
      <c r="A114" t="str">
        <f>[1]!OPBOARD(I1,"C","24000","売気配フラグ14","N225op")</f>
        <v/>
      </c>
      <c r="B114" t="str">
        <f>[1]!OPBOARD(I1,"C","24000","売気配フラグ14","N225op")</f>
        <v/>
      </c>
      <c r="C114" t="str">
        <f>[1]!OPBOARD(I1,"C","23875","売気配フラグ14","N225op")</f>
        <v/>
      </c>
      <c r="D114" t="str">
        <f>[1]!OPBOARD(I1,"P","23875","売気配フラグ14","N225op")</f>
        <v/>
      </c>
      <c r="E114" t="str">
        <f>[1]!OPBOARD(I1,"P","23750","売気配フラグ14","N225op")</f>
        <v/>
      </c>
      <c r="F114" t="str">
        <f>[1]!OPBOARD(I1,"C","23750","売気配フラグ14","N225op")</f>
        <v/>
      </c>
    </row>
    <row r="115" spans="1:6" x14ac:dyDescent="0.4">
      <c r="A115" t="str">
        <f>[1]!OPBOARD(I1,"C","24000","買気配フラグ14","N225op")</f>
        <v/>
      </c>
      <c r="B115" t="str">
        <f>[1]!OPBOARD(I1,"C","24000","買気配フラグ14","N225op")</f>
        <v/>
      </c>
      <c r="C115" t="str">
        <f>[1]!OPBOARD(I1,"C","23875","買気配フラグ14","N225op")</f>
        <v/>
      </c>
      <c r="D115" t="str">
        <f>[1]!OPBOARD(I1,"P","23875","買気配フラグ14","N225op")</f>
        <v/>
      </c>
      <c r="E115" t="str">
        <f>[1]!OPBOARD(I1,"P","23750","買気配フラグ14","N225op")</f>
        <v/>
      </c>
      <c r="F115" t="str">
        <f>[1]!OPBOARD(I1,"C","23750","買気配フラグ14","N225op")</f>
        <v/>
      </c>
    </row>
    <row r="116" spans="1:6" x14ac:dyDescent="0.4">
      <c r="A116">
        <f>[1]!OPBOARD(I1,"C","24000","気配値14","N225op")</f>
        <v>3</v>
      </c>
      <c r="B116">
        <f>[1]!OPBOARD(I1,"C","24000","気配値14","N225op")</f>
        <v>3</v>
      </c>
      <c r="C116">
        <f>[1]!OPBOARD(I1,"C","23875","気配値14","N225op")</f>
        <v>4</v>
      </c>
      <c r="D116">
        <f>[1]!OPBOARD(I1,"P","23875","気配値14","N225op")</f>
        <v>0</v>
      </c>
      <c r="E116">
        <f>[1]!OPBOARD(I1,"P","23750","気配値14","N225op")</f>
        <v>0</v>
      </c>
      <c r="F116">
        <f>[1]!OPBOARD(I1,"C","23750","気配値14","N225op")</f>
        <v>5</v>
      </c>
    </row>
    <row r="117" spans="1:6" x14ac:dyDescent="0.4">
      <c r="A117">
        <f>[1]!OPBOARD(I1,"C","24000","出来高14","N225op")</f>
        <v>0</v>
      </c>
      <c r="B117">
        <f>[1]!OPBOARD(I1,"C","24000","出来高14","N225op")</f>
        <v>0</v>
      </c>
      <c r="C117">
        <f>[1]!OPBOARD(I1,"C","23875","出来高14","N225op")</f>
        <v>0</v>
      </c>
      <c r="D117">
        <f>[1]!OPBOARD(I1,"P","23875","出来高14","N225op")</f>
        <v>0</v>
      </c>
      <c r="E117">
        <f>[1]!OPBOARD(I1,"P","23750","出来高14","N225op")</f>
        <v>0</v>
      </c>
      <c r="F117">
        <f>[1]!OPBOARD(I1,"C","23750","出来高14","N225op")</f>
        <v>0</v>
      </c>
    </row>
    <row r="118" spans="1:6" x14ac:dyDescent="0.4">
      <c r="A118">
        <f>[1]!OPBOARD(I1,"C","24000","売気配数量15","N225op")</f>
        <v>0</v>
      </c>
      <c r="B118">
        <f>[1]!OPBOARD(I1,"C","24000","売気配数量15","N225op")</f>
        <v>0</v>
      </c>
      <c r="C118">
        <f>[1]!OPBOARD(I1,"C","23875","売気配数量15","N225op")</f>
        <v>0</v>
      </c>
      <c r="D118">
        <f>[1]!OPBOARD(I1,"P","23875","売気配数量15","N225op")</f>
        <v>0</v>
      </c>
      <c r="E118">
        <f>[1]!OPBOARD(I1,"P","23750","売気配数量15","N225op")</f>
        <v>0</v>
      </c>
      <c r="F118">
        <f>[1]!OPBOARD(I1,"C","23750","売気配数量15","N225op")</f>
        <v>0</v>
      </c>
    </row>
    <row r="119" spans="1:6" x14ac:dyDescent="0.4">
      <c r="A119">
        <f>[1]!OPBOARD(I1,"C","24000","買気配数量15","N225op")</f>
        <v>57</v>
      </c>
      <c r="B119">
        <f>[1]!OPBOARD(I1,"C","24000","買気配数量15","N225op")</f>
        <v>57</v>
      </c>
      <c r="C119">
        <f>[1]!OPBOARD(I1,"C","23875","買気配数量15","N225op")</f>
        <v>40</v>
      </c>
      <c r="D119">
        <f>[1]!OPBOARD(I1,"P","23875","買気配数量15","N225op")</f>
        <v>0</v>
      </c>
      <c r="E119">
        <f>[1]!OPBOARD(I1,"P","23750","買気配数量15","N225op")</f>
        <v>0</v>
      </c>
      <c r="F119">
        <f>[1]!OPBOARD(I1,"C","23750","買気配数量15","N225op")</f>
        <v>20</v>
      </c>
    </row>
    <row r="120" spans="1:6" x14ac:dyDescent="0.4">
      <c r="A120" t="str">
        <f>[1]!OPBOARD(I1,"C","24000","売気配フラグ15","N225op")</f>
        <v/>
      </c>
      <c r="B120" t="str">
        <f>[1]!OPBOARD(I1,"C","24000","売気配フラグ15","N225op")</f>
        <v/>
      </c>
      <c r="C120" t="str">
        <f>[1]!OPBOARD(I1,"C","23875","売気配フラグ15","N225op")</f>
        <v/>
      </c>
      <c r="D120" t="str">
        <f>[1]!OPBOARD(I1,"P","23875","売気配フラグ15","N225op")</f>
        <v/>
      </c>
      <c r="E120" t="str">
        <f>[1]!OPBOARD(I1,"P","23750","売気配フラグ15","N225op")</f>
        <v/>
      </c>
      <c r="F120" t="str">
        <f>[1]!OPBOARD(I1,"C","23750","売気配フラグ15","N225op")</f>
        <v/>
      </c>
    </row>
    <row r="121" spans="1:6" x14ac:dyDescent="0.4">
      <c r="A121" t="str">
        <f>[1]!OPBOARD(I1,"C","24000","買気配フラグ15","N225op")</f>
        <v/>
      </c>
      <c r="B121" t="str">
        <f>[1]!OPBOARD(I1,"C","24000","買気配フラグ15","N225op")</f>
        <v/>
      </c>
      <c r="C121" t="str">
        <f>[1]!OPBOARD(I1,"C","23875","買気配フラグ15","N225op")</f>
        <v/>
      </c>
      <c r="D121" t="str">
        <f>[1]!OPBOARD(I1,"P","23875","買気配フラグ15","N225op")</f>
        <v/>
      </c>
      <c r="E121" t="str">
        <f>[1]!OPBOARD(I1,"P","23750","買気配フラグ15","N225op")</f>
        <v/>
      </c>
      <c r="F121" t="str">
        <f>[1]!OPBOARD(I1,"C","23750","買気配フラグ15","N225op")</f>
        <v/>
      </c>
    </row>
    <row r="122" spans="1:6" x14ac:dyDescent="0.4">
      <c r="A122">
        <f>[1]!OPBOARD(I1,"C","24000","気配値15","N225op")</f>
        <v>2</v>
      </c>
      <c r="B122">
        <f>[1]!OPBOARD(I1,"C","24000","気配値15","N225op")</f>
        <v>2</v>
      </c>
      <c r="C122">
        <f>[1]!OPBOARD(I1,"C","23875","気配値15","N225op")</f>
        <v>3</v>
      </c>
      <c r="D122">
        <f>[1]!OPBOARD(I1,"P","23875","気配値15","N225op")</f>
        <v>0</v>
      </c>
      <c r="E122">
        <f>[1]!OPBOARD(I1,"P","23750","気配値15","N225op")</f>
        <v>0</v>
      </c>
      <c r="F122">
        <f>[1]!OPBOARD(I1,"C","23750","気配値15","N225op")</f>
        <v>4</v>
      </c>
    </row>
    <row r="123" spans="1:6" x14ac:dyDescent="0.4">
      <c r="A123">
        <f>[1]!OPBOARD(I1,"C","24000","出来高15","N225op")</f>
        <v>0</v>
      </c>
      <c r="B123">
        <f>[1]!OPBOARD(I1,"C","24000","出来高15","N225op")</f>
        <v>0</v>
      </c>
      <c r="C123">
        <f>[1]!OPBOARD(I1,"C","23875","出来高15","N225op")</f>
        <v>0</v>
      </c>
      <c r="D123">
        <f>[1]!OPBOARD(I1,"P","23875","出来高15","N225op")</f>
        <v>0</v>
      </c>
      <c r="E123">
        <f>[1]!OPBOARD(I1,"P","23750","出来高15","N225op")</f>
        <v>0</v>
      </c>
      <c r="F123">
        <f>[1]!OPBOARD(I1,"C","23750","出来高15","N225op")</f>
        <v>0</v>
      </c>
    </row>
    <row r="124" spans="1:6" x14ac:dyDescent="0.4">
      <c r="A124">
        <f>[1]!OPBOARD(I1,"C","24000","成行売気配数量","N225op")</f>
        <v>0</v>
      </c>
      <c r="B124">
        <f>[1]!OPBOARD(I1,"C","24000","成行売気配数量","N225op")</f>
        <v>0</v>
      </c>
      <c r="C124">
        <f>[1]!OPBOARD(I1,"C","23875","成行売気配数量","N225op")</f>
        <v>0</v>
      </c>
      <c r="D124">
        <f>[1]!OPBOARD(I1,"P","23875","成行売気配数量","N225op")</f>
        <v>0</v>
      </c>
      <c r="E124">
        <f>[1]!OPBOARD(I1,"P","23750","成行売気配数量","N225op")</f>
        <v>0</v>
      </c>
      <c r="F124">
        <f>[1]!OPBOARD(I1,"C","23750","成行売気配数量","N225op")</f>
        <v>0</v>
      </c>
    </row>
    <row r="125" spans="1:6" x14ac:dyDescent="0.4">
      <c r="A125">
        <f>[1]!OPBOARD(I1,"C","24000","成行買気配数量","N225op")</f>
        <v>0</v>
      </c>
      <c r="B125">
        <f>[1]!OPBOARD(I1,"C","24000","成行買気配数量","N225op")</f>
        <v>0</v>
      </c>
      <c r="C125">
        <f>[1]!OPBOARD(I1,"C","23875","成行買気配数量","N225op")</f>
        <v>0</v>
      </c>
      <c r="D125">
        <f>[1]!OPBOARD(I1,"P","23875","成行買気配数量","N225op")</f>
        <v>0</v>
      </c>
      <c r="E125">
        <f>[1]!OPBOARD(I1,"P","23750","成行買気配数量","N225op")</f>
        <v>0</v>
      </c>
      <c r="F125">
        <f>[1]!OPBOARD(I1,"C","23750","成行買気配数量","N225op")</f>
        <v>0</v>
      </c>
    </row>
  </sheetData>
  <phoneticPr fontId="1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大野了</dc:creator>
  <cp:lastModifiedBy>大野了</cp:lastModifiedBy>
  <dcterms:created xsi:type="dcterms:W3CDTF">2018-02-16T13:08:51Z</dcterms:created>
  <dcterms:modified xsi:type="dcterms:W3CDTF">2018-02-16T13:45:20Z</dcterms:modified>
</cp:coreProperties>
</file>