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olatileDependencies.xml" ContentType="application/vnd.openxmlformats-officedocument.spreadsheetml.volatileDependenc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8" windowWidth="14808" windowHeight="8016" activeTab="2"/>
  </bookViews>
  <sheets>
    <sheet name="買い1" sheetId="1" r:id="rId1"/>
    <sheet name="買い2" sheetId="5" r:id="rId2"/>
    <sheet name="買い3" sheetId="6" r:id="rId3"/>
  </sheets>
  <externalReferences>
    <externalReference r:id="rId4"/>
  </externalReferences>
  <calcPr calcId="145621"/>
</workbook>
</file>

<file path=xl/calcChain.xml><?xml version="1.0" encoding="utf-8"?>
<calcChain xmlns="http://schemas.openxmlformats.org/spreadsheetml/2006/main">
  <c r="B5" i="1" l="1"/>
  <c r="B5" i="6"/>
  <c r="B5" i="5"/>
  <c r="D29" i="6" l="1"/>
  <c r="E14" i="6" l="1"/>
  <c r="E13" i="6"/>
  <c r="C7" i="6"/>
  <c r="AF4" i="6" s="1"/>
  <c r="D5" i="6"/>
  <c r="E5" i="6" s="1"/>
  <c r="AF3" i="6"/>
  <c r="AE3" i="6"/>
  <c r="B2" i="6"/>
  <c r="D5" i="5"/>
  <c r="E5" i="5" s="1"/>
  <c r="D5" i="1"/>
  <c r="E5" i="1" s="1"/>
  <c r="AD12" i="6"/>
  <c r="G3" i="6"/>
  <c r="W12" i="6"/>
  <c r="AA12" i="6"/>
  <c r="Z12" i="6"/>
  <c r="E3" i="6"/>
  <c r="AI22" i="6"/>
  <c r="AH22" i="6"/>
  <c r="AA22" i="6"/>
  <c r="V22" i="6"/>
  <c r="AB12" i="6"/>
  <c r="AF22" i="6"/>
  <c r="AD22" i="6"/>
  <c r="X12" i="6"/>
  <c r="AE22" i="6"/>
  <c r="Z22" i="6"/>
  <c r="AB22" i="6"/>
  <c r="J3" i="6"/>
  <c r="K3" i="6"/>
  <c r="AC12" i="6"/>
  <c r="Y12" i="6"/>
  <c r="W22" i="6"/>
  <c r="AG22" i="6"/>
  <c r="I3" i="6"/>
  <c r="F3" i="6"/>
  <c r="H3" i="6"/>
  <c r="AJ22" i="6"/>
  <c r="AC22" i="6"/>
  <c r="Y22" i="6"/>
  <c r="X22" i="6"/>
  <c r="AE7" i="6" l="1"/>
  <c r="AE6" i="6"/>
  <c r="B14" i="6"/>
  <c r="AE18" i="6"/>
  <c r="AE17" i="6"/>
  <c r="AE13" i="6"/>
  <c r="AE16" i="6"/>
  <c r="AE15" i="6"/>
  <c r="AE14" i="6"/>
  <c r="K14" i="6"/>
  <c r="B13" i="6"/>
  <c r="E14" i="1"/>
  <c r="E13" i="1"/>
  <c r="E14" i="5"/>
  <c r="E13" i="5"/>
  <c r="D29" i="5"/>
  <c r="D29" i="1"/>
  <c r="C7" i="5"/>
  <c r="AF4" i="5" s="1"/>
  <c r="AF3" i="5"/>
  <c r="AE3" i="5"/>
  <c r="B2" i="5"/>
  <c r="B13" i="5" s="1"/>
  <c r="AF3" i="1"/>
  <c r="C14" i="6"/>
  <c r="AA12" i="5"/>
  <c r="AC12" i="5"/>
  <c r="I3" i="1"/>
  <c r="G3" i="5"/>
  <c r="AB12" i="5"/>
  <c r="H3" i="5"/>
  <c r="K3" i="1"/>
  <c r="J3" i="1"/>
  <c r="AF22" i="5"/>
  <c r="AJ22" i="5"/>
  <c r="W22" i="5"/>
  <c r="AH22" i="5"/>
  <c r="F3" i="5"/>
  <c r="I3" i="5"/>
  <c r="AC22" i="5"/>
  <c r="W12" i="5"/>
  <c r="AD22" i="5"/>
  <c r="AE22" i="5"/>
  <c r="X22" i="5"/>
  <c r="AB22" i="5"/>
  <c r="Y22" i="5"/>
  <c r="J3" i="5"/>
  <c r="E3" i="1"/>
  <c r="F3" i="1"/>
  <c r="Z12" i="5"/>
  <c r="H3" i="1"/>
  <c r="V22" i="5"/>
  <c r="X12" i="5"/>
  <c r="E3" i="5"/>
  <c r="Y12" i="5"/>
  <c r="G3" i="1"/>
  <c r="Z22" i="5"/>
  <c r="C13" i="6"/>
  <c r="AI22" i="5"/>
  <c r="AG22" i="5"/>
  <c r="AD12" i="5"/>
  <c r="K3" i="5"/>
  <c r="AA22" i="5"/>
  <c r="C13" i="5"/>
  <c r="AE8" i="6" l="1"/>
  <c r="B29" i="6" s="1"/>
  <c r="C29" i="6" s="1"/>
  <c r="B14" i="5"/>
  <c r="AE7" i="5"/>
  <c r="AE14" i="5"/>
  <c r="AE15" i="5"/>
  <c r="AE16" i="5"/>
  <c r="AE17" i="5"/>
  <c r="AE18" i="5"/>
  <c r="AE13" i="5"/>
  <c r="AE6" i="5"/>
  <c r="K14" i="5"/>
  <c r="C14" i="5"/>
  <c r="V22" i="1"/>
  <c r="AE8" i="5" l="1"/>
  <c r="B29" i="5" s="1"/>
  <c r="C29" i="5" s="1"/>
  <c r="C7" i="1"/>
  <c r="AF4" i="1" s="1"/>
  <c r="AJ22" i="1"/>
  <c r="AE3" i="1" l="1"/>
  <c r="AC12" i="1"/>
  <c r="AE15" i="1" l="1"/>
  <c r="AE16" i="1"/>
  <c r="AE17" i="1"/>
  <c r="AE18" i="1"/>
  <c r="AE14" i="1"/>
  <c r="AE13" i="1"/>
  <c r="AE8" i="1" s="1"/>
  <c r="B2" i="1"/>
  <c r="AE7" i="1"/>
  <c r="B13" i="1" l="1"/>
  <c r="B14" i="1"/>
  <c r="AE6" i="1"/>
  <c r="B29" i="1"/>
  <c r="AG22" i="1"/>
  <c r="AA22" i="1"/>
  <c r="W12" i="1"/>
  <c r="Y22" i="1"/>
  <c r="AD22" i="1"/>
  <c r="AB12" i="1"/>
  <c r="AD12" i="1"/>
  <c r="AB22" i="1"/>
  <c r="X22" i="1"/>
  <c r="AH22" i="1"/>
  <c r="AI22" i="1"/>
  <c r="W22" i="1"/>
  <c r="Z22" i="1"/>
  <c r="AC22" i="1"/>
  <c r="AF22" i="1"/>
  <c r="X12" i="1"/>
  <c r="AE22" i="1"/>
  <c r="K14" i="1" l="1"/>
  <c r="C29" i="1"/>
  <c r="C14" i="1"/>
  <c r="Z12" i="1"/>
  <c r="Y12" i="1"/>
  <c r="C13" i="1"/>
  <c r="AA12" i="1"/>
</calcChain>
</file>

<file path=xl/sharedStrings.xml><?xml version="1.0" encoding="utf-8"?>
<sst xmlns="http://schemas.openxmlformats.org/spreadsheetml/2006/main" count="542" uniqueCount="121">
  <si>
    <t>先物コード</t>
  </si>
  <si>
    <t>限月</t>
  </si>
  <si>
    <t>売買区分</t>
  </si>
  <si>
    <t>第1引数</t>
  </si>
  <si>
    <t>第2引数</t>
  </si>
  <si>
    <t>第3引数</t>
  </si>
  <si>
    <t>第4引数</t>
  </si>
  <si>
    <t>第5引数</t>
  </si>
  <si>
    <t>第6引数</t>
  </si>
  <si>
    <t>第7引数</t>
  </si>
  <si>
    <t>第8引数</t>
  </si>
  <si>
    <t>第9引数</t>
  </si>
  <si>
    <t>第10引数</t>
  </si>
  <si>
    <t>第11引数</t>
  </si>
  <si>
    <t>第12引数</t>
  </si>
  <si>
    <t>第13引数</t>
  </si>
  <si>
    <t>第14引数</t>
  </si>
  <si>
    <t>第15引数</t>
  </si>
  <si>
    <t>第16引数</t>
  </si>
  <si>
    <t>第17引数</t>
  </si>
  <si>
    <t>第18引数</t>
  </si>
  <si>
    <t>取引種類</t>
  </si>
  <si>
    <t>建玉番号or決済順序</t>
    <rPh sb="0" eb="2">
      <t>タテギョク</t>
    </rPh>
    <rPh sb="2" eb="4">
      <t>バンゴウ</t>
    </rPh>
    <rPh sb="6" eb="8">
      <t>ケッサイ</t>
    </rPh>
    <rPh sb="8" eb="10">
      <t>ジュンジョ</t>
    </rPh>
    <phoneticPr fontId="2"/>
  </si>
  <si>
    <t>建玉枝番号</t>
    <rPh sb="0" eb="2">
      <t>タテギョク</t>
    </rPh>
    <rPh sb="2" eb="3">
      <t>エダ</t>
    </rPh>
    <rPh sb="3" eb="5">
      <t>バンゴウ</t>
    </rPh>
    <phoneticPr fontId="2"/>
  </si>
  <si>
    <t>執行条件</t>
  </si>
  <si>
    <t>単価</t>
  </si>
  <si>
    <t>数量</t>
  </si>
  <si>
    <t>確認</t>
  </si>
  <si>
    <t>注文完了</t>
  </si>
  <si>
    <t>注文画面表示</t>
  </si>
  <si>
    <t>パスワード</t>
  </si>
  <si>
    <t>発注ID</t>
    <rPh sb="0" eb="2">
      <t>ハッチュウ</t>
    </rPh>
    <phoneticPr fontId="2"/>
  </si>
  <si>
    <t>有効期間区分or日付</t>
    <rPh sb="0" eb="6">
      <t>ユウコウキカンクブン</t>
    </rPh>
    <rPh sb="8" eb="10">
      <t>ニチヅケ</t>
    </rPh>
    <phoneticPr fontId="2"/>
  </si>
  <si>
    <t>メモ</t>
  </si>
  <si>
    <t>発注条件
（逆指値指定時）</t>
    <rPh sb="0" eb="2">
      <t>ハッチュウ</t>
    </rPh>
    <rPh sb="2" eb="4">
      <t>ジョウケン</t>
    </rPh>
    <rPh sb="6" eb="7">
      <t>ギャク</t>
    </rPh>
    <rPh sb="7" eb="9">
      <t>サシネ</t>
    </rPh>
    <rPh sb="9" eb="11">
      <t>シテイ</t>
    </rPh>
    <rPh sb="11" eb="12">
      <t>ジ</t>
    </rPh>
    <phoneticPr fontId="2"/>
  </si>
  <si>
    <t>発注単価
（逆指値指定時）</t>
    <rPh sb="0" eb="2">
      <t>ハッチュウ</t>
    </rPh>
    <rPh sb="2" eb="4">
      <t>タンカ</t>
    </rPh>
    <phoneticPr fontId="2"/>
  </si>
  <si>
    <t>N225：N225先物、N225mini：N225ミニ、TOPIX：TPX先物、
TOPIXmini：ミニTPX、Core30：Core30、
REIT：REIT先物、DOW：ダウ先物、VI：VI先物、JPX400：JPX400先物、MOTHERS：マザーズ先物</t>
    <rPh sb="114" eb="115">
      <t>サキ</t>
    </rPh>
    <rPh sb="115" eb="116">
      <t>モノ</t>
    </rPh>
    <rPh sb="129" eb="130">
      <t>サキ</t>
    </rPh>
    <rPh sb="130" eb="131">
      <t>モノ</t>
    </rPh>
    <phoneticPr fontId="2"/>
  </si>
  <si>
    <t>YYYYMM形式。0：期近 1：期先</t>
  </si>
  <si>
    <t>1：新規、2：決済</t>
  </si>
  <si>
    <r>
      <t xml:space="preserve">A：評価益（1枚）順、B：評価損（1枚）順、C：建日時古順、D：建日時新順。ブランクはなし。
</t>
    </r>
    <r>
      <rPr>
        <sz val="9"/>
        <color indexed="10"/>
        <rFont val="ＭＳ Ｐゴシック"/>
        <family val="3"/>
        <charset val="128"/>
      </rPr>
      <t>※2013年8月18日より建玉番号を英字交じりの形式に変更</t>
    </r>
    <rPh sb="2" eb="4">
      <t>ヒョウカ</t>
    </rPh>
    <rPh sb="4" eb="5">
      <t>エキ</t>
    </rPh>
    <rPh sb="7" eb="8">
      <t>マイ</t>
    </rPh>
    <rPh sb="9" eb="10">
      <t>ジュン</t>
    </rPh>
    <rPh sb="13" eb="15">
      <t>ヒョウカ</t>
    </rPh>
    <rPh sb="15" eb="16">
      <t>ソン</t>
    </rPh>
    <rPh sb="24" eb="25">
      <t>タ</t>
    </rPh>
    <rPh sb="25" eb="27">
      <t>ニチジ</t>
    </rPh>
    <rPh sb="27" eb="28">
      <t>フル</t>
    </rPh>
    <rPh sb="28" eb="29">
      <t>ジュン</t>
    </rPh>
    <rPh sb="32" eb="33">
      <t>タ</t>
    </rPh>
    <rPh sb="33" eb="35">
      <t>ニチジ</t>
    </rPh>
    <rPh sb="35" eb="36">
      <t>シン</t>
    </rPh>
    <rPh sb="36" eb="37">
      <t>ジュン</t>
    </rPh>
    <rPh sb="52" eb="53">
      <t>ネン</t>
    </rPh>
    <rPh sb="54" eb="55">
      <t>ガツ</t>
    </rPh>
    <rPh sb="57" eb="58">
      <t>ニチ</t>
    </rPh>
    <rPh sb="60" eb="62">
      <t>タテギョク</t>
    </rPh>
    <rPh sb="62" eb="64">
      <t>バンゴウ</t>
    </rPh>
    <rPh sb="65" eb="67">
      <t>エイジ</t>
    </rPh>
    <rPh sb="67" eb="68">
      <t>マ</t>
    </rPh>
    <rPh sb="71" eb="73">
      <t>ケイシキ</t>
    </rPh>
    <rPh sb="74" eb="76">
      <t>ヘンコウ</t>
    </rPh>
    <phoneticPr fontId="2"/>
  </si>
  <si>
    <t>建玉番号指定の場合に必須</t>
    <rPh sb="4" eb="6">
      <t>シテイ</t>
    </rPh>
    <rPh sb="7" eb="9">
      <t>バアイ</t>
    </rPh>
    <rPh sb="10" eb="12">
      <t>ヒッス</t>
    </rPh>
    <phoneticPr fontId="2"/>
  </si>
  <si>
    <t>1：売、3：買</t>
  </si>
  <si>
    <r>
      <t xml:space="preserve">0:最大指値、1:指値、5:引成、6:不出来引成、8:逆指値、10:指値(FOK)、11:指値(FAK)、12:成行(FOK)、13:成行(FAK)、14:最良指値、15:最良指値(FOK)、16:最良指値(FAK)、19:引指
</t>
    </r>
    <r>
      <rPr>
        <sz val="9"/>
        <color indexed="10"/>
        <rFont val="ＭＳ Ｐゴシック"/>
        <family val="3"/>
        <charset val="128"/>
      </rPr>
      <t>※コードの割り振りは、J-GATE対応前に合わせている
※マスタの値とは違うため、受取時にコンバート</t>
    </r>
    <rPh sb="22" eb="24">
      <t>ヒケナリ</t>
    </rPh>
    <rPh sb="112" eb="113">
      <t>ヒ</t>
    </rPh>
    <rPh sb="113" eb="114">
      <t>サ</t>
    </rPh>
    <rPh sb="120" eb="121">
      <t>ワ</t>
    </rPh>
    <rPh sb="122" eb="123">
      <t>フ</t>
    </rPh>
    <rPh sb="132" eb="134">
      <t>タイオウ</t>
    </rPh>
    <rPh sb="134" eb="135">
      <t>マエ</t>
    </rPh>
    <rPh sb="136" eb="137">
      <t>ア</t>
    </rPh>
    <phoneticPr fontId="2"/>
  </si>
  <si>
    <t>成行、最大指値の場合は０を指定、逆指値の場合は発火条件価格を指定</t>
    <rPh sb="3" eb="5">
      <t>サイダイ</t>
    </rPh>
    <rPh sb="5" eb="7">
      <t>サシネ</t>
    </rPh>
    <rPh sb="16" eb="17">
      <t>ギャク</t>
    </rPh>
    <rPh sb="17" eb="19">
      <t>サシネ</t>
    </rPh>
    <rPh sb="20" eb="22">
      <t>バアイ</t>
    </rPh>
    <rPh sb="23" eb="25">
      <t>ハッカ</t>
    </rPh>
    <rPh sb="25" eb="27">
      <t>ジョウケン</t>
    </rPh>
    <rPh sb="27" eb="29">
      <t>カカク</t>
    </rPh>
    <rPh sb="30" eb="32">
      <t>シテイ</t>
    </rPh>
    <phoneticPr fontId="2"/>
  </si>
  <si>
    <t>0：表示あり、１：表示無し</t>
  </si>
  <si>
    <t>RSSバージョン２では常に表示なし</t>
    <rPh sb="11" eb="12">
      <t>ツネ</t>
    </rPh>
    <rPh sb="13" eb="15">
      <t>ヒョウジ</t>
    </rPh>
    <phoneticPr fontId="2"/>
  </si>
  <si>
    <t>先物注文取引パスワード</t>
  </si>
  <si>
    <t>重複注文防止用のユニークなコード</t>
    <rPh sb="0" eb="2">
      <t>チョウフク</t>
    </rPh>
    <rPh sb="2" eb="4">
      <t>チュウモン</t>
    </rPh>
    <rPh sb="4" eb="6">
      <t>ボウシ</t>
    </rPh>
    <rPh sb="6" eb="7">
      <t>ヨウ</t>
    </rPh>
    <phoneticPr fontId="2"/>
  </si>
  <si>
    <r>
      <t>1：当ｾｯｼｮﾝのみ(GFD)、
3：最終日まで(GTC)、
YYYYMMDD（GTDの場合のみ日付設定）</t>
    </r>
    <r>
      <rPr>
        <sz val="9"/>
        <color indexed="10"/>
        <rFont val="ＭＳ Ｐゴシック"/>
        <family val="3"/>
        <charset val="128"/>
      </rPr>
      <t xml:space="preserve">
※指定しない場合当セッションのみ</t>
    </r>
    <rPh sb="2" eb="3">
      <t>トウ</t>
    </rPh>
    <rPh sb="19" eb="22">
      <t>サイシュウビ</t>
    </rPh>
    <rPh sb="48" eb="50">
      <t>ヒヅケ</t>
    </rPh>
    <rPh sb="50" eb="52">
      <t>セッテイ</t>
    </rPh>
    <phoneticPr fontId="2"/>
  </si>
  <si>
    <r>
      <t xml:space="preserve">0-9/a-z/A-Zの範囲文字と_(ｱﾝﾀﾞｰﾊﾞｰ)のみ
</t>
    </r>
    <r>
      <rPr>
        <sz val="9"/>
        <color indexed="10"/>
        <rFont val="ＭＳ Ｐゴシック"/>
        <family val="3"/>
        <charset val="128"/>
      </rPr>
      <t>※指定しない場合登録無し
※他ツールから時間指定の訂正を付与した場合、訂正後の注文には引き継がれません</t>
    </r>
    <rPh sb="39" eb="41">
      <t>トウロク</t>
    </rPh>
    <rPh sb="41" eb="42">
      <t>ナ</t>
    </rPh>
    <phoneticPr fontId="2"/>
  </si>
  <si>
    <r>
      <t xml:space="preserve">●執行条件が逆指値の時は下記を設定。
  0:最大指値、1:指値、10:指値(FOK)、11:指値(FAK)、12:成行(FOK)、13:成行(FAK)、14：最良指値、15：最良指値（FOK）、16：最良指値（FAK）
　※指定しない場合最大指値
※逆指値以外：使用無し
</t>
    </r>
    <r>
      <rPr>
        <sz val="9"/>
        <color indexed="10"/>
        <rFont val="ＭＳ Ｐゴシック"/>
        <family val="3"/>
        <charset val="128"/>
      </rPr>
      <t>※コード割り振りは、J-GATE対応前に合わせている
※マスタの値とは違うため、受取時にコンバート</t>
    </r>
    <rPh sb="1" eb="3">
      <t>シッコウ</t>
    </rPh>
    <rPh sb="3" eb="5">
      <t>ジョウケン</t>
    </rPh>
    <rPh sb="10" eb="11">
      <t>トキ</t>
    </rPh>
    <rPh sb="12" eb="14">
      <t>カキ</t>
    </rPh>
    <rPh sb="15" eb="17">
      <t>セッテイ</t>
    </rPh>
    <rPh sb="130" eb="132">
      <t>イガイ</t>
    </rPh>
    <rPh sb="133" eb="135">
      <t>シヨウ</t>
    </rPh>
    <rPh sb="135" eb="136">
      <t>ナ</t>
    </rPh>
    <phoneticPr fontId="2"/>
  </si>
  <si>
    <t>●執行条件が逆指値の時
　指定しない場合0を自動設定
※逆指値以外：使用無し</t>
    <rPh sb="22" eb="24">
      <t>ジドウ</t>
    </rPh>
    <rPh sb="24" eb="26">
      <t>セッテイ</t>
    </rPh>
    <phoneticPr fontId="2"/>
  </si>
  <si>
    <t>""</t>
  </si>
  <si>
    <t>""</t>
    <phoneticPr fontId="3"/>
  </si>
  <si>
    <t>N225mini</t>
  </si>
  <si>
    <t>N225mini</t>
    <phoneticPr fontId="3"/>
  </si>
  <si>
    <t>***END***</t>
  </si>
  <si>
    <t>新規:225mini</t>
    <rPh sb="0" eb="2">
      <t>シンキ</t>
    </rPh>
    <phoneticPr fontId="3"/>
  </si>
  <si>
    <t>決済:225mini</t>
    <rPh sb="0" eb="2">
      <t>ケッサイ</t>
    </rPh>
    <phoneticPr fontId="3"/>
  </si>
  <si>
    <t>発注時間内外</t>
    <rPh sb="0" eb="2">
      <t>ハッチュウ</t>
    </rPh>
    <rPh sb="2" eb="4">
      <t>ジカン</t>
    </rPh>
    <rPh sb="4" eb="5">
      <t>ナイ</t>
    </rPh>
    <rPh sb="5" eb="6">
      <t>ガイ</t>
    </rPh>
    <phoneticPr fontId="3"/>
  </si>
  <si>
    <t>新規決済区分</t>
    <rPh sb="0" eb="2">
      <t>シンキ</t>
    </rPh>
    <rPh sb="2" eb="4">
      <t>ケッサイ</t>
    </rPh>
    <rPh sb="4" eb="6">
      <t>クブン</t>
    </rPh>
    <phoneticPr fontId="3"/>
  </si>
  <si>
    <t>商品種別</t>
    <rPh sb="0" eb="2">
      <t>ショウヒン</t>
    </rPh>
    <rPh sb="2" eb="4">
      <t>シュベツ</t>
    </rPh>
    <phoneticPr fontId="3"/>
  </si>
  <si>
    <t>売買</t>
    <rPh sb="0" eb="2">
      <t>バイバイ</t>
    </rPh>
    <phoneticPr fontId="3"/>
  </si>
  <si>
    <t>数量</t>
    <rPh sb="0" eb="2">
      <t>スウリョウ</t>
    </rPh>
    <phoneticPr fontId="3"/>
  </si>
  <si>
    <t>建玉番号</t>
    <rPh sb="0" eb="1">
      <t>タ</t>
    </rPh>
    <rPh sb="1" eb="2">
      <t>タマ</t>
    </rPh>
    <rPh sb="2" eb="4">
      <t>バンゴウ</t>
    </rPh>
    <phoneticPr fontId="3"/>
  </si>
  <si>
    <t>建玉枝番</t>
    <rPh sb="0" eb="1">
      <t>タ</t>
    </rPh>
    <rPh sb="1" eb="2">
      <t>タマ</t>
    </rPh>
    <rPh sb="2" eb="4">
      <t>エダバン</t>
    </rPh>
    <phoneticPr fontId="3"/>
  </si>
  <si>
    <t>メモ</t>
    <phoneticPr fontId="3"/>
  </si>
  <si>
    <t>C</t>
    <phoneticPr fontId="3"/>
  </si>
  <si>
    <t>建玉情報</t>
    <rPh sb="0" eb="1">
      <t>タ</t>
    </rPh>
    <rPh sb="1" eb="2">
      <t>タマ</t>
    </rPh>
    <rPh sb="2" eb="4">
      <t>ジョウホウ</t>
    </rPh>
    <phoneticPr fontId="3"/>
  </si>
  <si>
    <t>発注関数</t>
    <rPh sb="0" eb="2">
      <t>ハッチュウ</t>
    </rPh>
    <rPh sb="2" eb="4">
      <t>カンスウ</t>
    </rPh>
    <phoneticPr fontId="3"/>
  </si>
  <si>
    <t>決済訂正</t>
    <rPh sb="0" eb="2">
      <t>ケッサイ</t>
    </rPh>
    <rPh sb="2" eb="4">
      <t>テイセイ</t>
    </rPh>
    <phoneticPr fontId="3"/>
  </si>
  <si>
    <t>注文番号</t>
    <rPh sb="2" eb="4">
      <t>バンゴウ</t>
    </rPh>
    <phoneticPr fontId="2"/>
  </si>
  <si>
    <t>発注条件（逆指値指定時）</t>
    <rPh sb="0" eb="2">
      <t>ハッチュウ</t>
    </rPh>
    <rPh sb="2" eb="4">
      <t>ジョウケン</t>
    </rPh>
    <rPh sb="5" eb="6">
      <t>ギャク</t>
    </rPh>
    <rPh sb="6" eb="8">
      <t>サシネ</t>
    </rPh>
    <rPh sb="8" eb="10">
      <t>シテイ</t>
    </rPh>
    <rPh sb="10" eb="11">
      <t>トキ</t>
    </rPh>
    <phoneticPr fontId="2"/>
  </si>
  <si>
    <t>発注単価（逆指値指定時）</t>
    <rPh sb="0" eb="2">
      <t>ハッチュウ</t>
    </rPh>
    <rPh sb="2" eb="4">
      <t>タンカ</t>
    </rPh>
    <rPh sb="5" eb="6">
      <t>ギャク</t>
    </rPh>
    <rPh sb="6" eb="8">
      <t>サシネ</t>
    </rPh>
    <rPh sb="8" eb="10">
      <t>シテイ</t>
    </rPh>
    <rPh sb="10" eb="11">
      <t>トキ</t>
    </rPh>
    <phoneticPr fontId="2"/>
  </si>
  <si>
    <t>必要</t>
  </si>
  <si>
    <t>不要</t>
  </si>
  <si>
    <t>※2013年8月18日より注文番号を英字交じりの形式に変更</t>
    <rPh sb="15" eb="17">
      <t>バンゴウ</t>
    </rPh>
    <phoneticPr fontId="2"/>
  </si>
  <si>
    <t>※値のチェックは行わない。</t>
    <rPh sb="1" eb="2">
      <t>アタイ</t>
    </rPh>
    <rPh sb="8" eb="9">
      <t>オコナ</t>
    </rPh>
    <phoneticPr fontId="2"/>
  </si>
  <si>
    <t>訂正後の単価を指定します
成行、最大指値の場合は０を指定</t>
    <rPh sb="16" eb="18">
      <t>サイダイ</t>
    </rPh>
    <rPh sb="18" eb="20">
      <t>サシネ</t>
    </rPh>
    <phoneticPr fontId="2"/>
  </si>
  <si>
    <t>訂正後の数量を指定します</t>
  </si>
  <si>
    <r>
      <t>●執行条件が逆指値の時は下記を設定。
  0:最大指値、1:指値、10:指値(FOK)、11:指値(FAK)、12:成行(FOK)、13:成行(FAK)、14：最良指値、15：最良指値（FOK）、16：最良指値（FAK）
　(</t>
    </r>
    <r>
      <rPr>
        <sz val="9"/>
        <color indexed="10"/>
        <rFont val="ＭＳ Ｐゴシック"/>
        <family val="3"/>
        <charset val="128"/>
      </rPr>
      <t>指定しない場合最大指値</t>
    </r>
    <r>
      <rPr>
        <sz val="9"/>
        <rFont val="ＭＳ Ｐゴシック"/>
        <family val="3"/>
        <charset val="128"/>
      </rPr>
      <t xml:space="preserve">)
</t>
    </r>
    <r>
      <rPr>
        <sz val="9"/>
        <color indexed="10"/>
        <rFont val="ＭＳ Ｐゴシック"/>
        <family val="3"/>
        <charset val="128"/>
      </rPr>
      <t xml:space="preserve">
※逆指値以外：使用無し
※コード割り振りは、</t>
    </r>
    <r>
      <rPr>
        <sz val="9"/>
        <color indexed="10"/>
        <rFont val="ＭＳ Ｐゴシック"/>
        <family val="3"/>
        <charset val="128"/>
      </rPr>
      <t>J-GATE</t>
    </r>
    <r>
      <rPr>
        <sz val="9"/>
        <color indexed="10"/>
        <rFont val="ＭＳ Ｐゴシック"/>
        <family val="3"/>
        <charset val="128"/>
      </rPr>
      <t>対応前に合わせている
※マスタの値とは違うため、受取時にコンバート</t>
    </r>
    <rPh sb="1" eb="3">
      <t>シッコウ</t>
    </rPh>
    <rPh sb="3" eb="5">
      <t>ジョウケン</t>
    </rPh>
    <rPh sb="10" eb="11">
      <t>トキ</t>
    </rPh>
    <rPh sb="12" eb="14">
      <t>カキ</t>
    </rPh>
    <rPh sb="15" eb="17">
      <t>セッテイ</t>
    </rPh>
    <rPh sb="131" eb="133">
      <t>イガイ</t>
    </rPh>
    <rPh sb="134" eb="136">
      <t>シヨウ</t>
    </rPh>
    <rPh sb="136" eb="137">
      <t>ナ</t>
    </rPh>
    <phoneticPr fontId="2"/>
  </si>
  <si>
    <r>
      <t>●執行条件が逆指値の時
　</t>
    </r>
    <r>
      <rPr>
        <sz val="9"/>
        <color indexed="10"/>
        <rFont val="ＭＳ Ｐゴシック"/>
        <family val="3"/>
        <charset val="128"/>
      </rPr>
      <t>指定しない場合0を自動設定</t>
    </r>
    <r>
      <rPr>
        <sz val="9"/>
        <color indexed="10"/>
        <rFont val="ＭＳ Ｐゴシック"/>
        <family val="3"/>
        <charset val="128"/>
      </rPr>
      <t xml:space="preserve">
※逆指値</t>
    </r>
    <r>
      <rPr>
        <sz val="9"/>
        <color indexed="10"/>
        <rFont val="ＭＳ Ｐゴシック"/>
        <family val="3"/>
        <charset val="128"/>
      </rPr>
      <t>以外：使用無し</t>
    </r>
    <rPh sb="22" eb="24">
      <t>ジドウ</t>
    </rPh>
    <rPh sb="24" eb="26">
      <t>セッテイ</t>
    </rPh>
    <phoneticPr fontId="2"/>
  </si>
  <si>
    <t>建玉日時</t>
    <rPh sb="0" eb="1">
      <t>ケン</t>
    </rPh>
    <rPh sb="1" eb="2">
      <t>タマ</t>
    </rPh>
    <rPh sb="2" eb="4">
      <t>ニチジ</t>
    </rPh>
    <phoneticPr fontId="3"/>
  </si>
  <si>
    <t>決済注文</t>
    <rPh sb="0" eb="2">
      <t>ケッサイ</t>
    </rPh>
    <rPh sb="2" eb="4">
      <t>チュウモン</t>
    </rPh>
    <phoneticPr fontId="3"/>
  </si>
  <si>
    <t>決済訂正</t>
    <rPh sb="0" eb="2">
      <t>ケッサイ</t>
    </rPh>
    <rPh sb="2" eb="4">
      <t>テイセイ</t>
    </rPh>
    <phoneticPr fontId="3"/>
  </si>
  <si>
    <t>価格情報</t>
    <rPh sb="0" eb="2">
      <t>カカク</t>
    </rPh>
    <rPh sb="2" eb="4">
      <t>ジョウホウ</t>
    </rPh>
    <phoneticPr fontId="3"/>
  </si>
  <si>
    <t>利益確定幅</t>
    <rPh sb="0" eb="2">
      <t>リエキ</t>
    </rPh>
    <rPh sb="2" eb="4">
      <t>カクテイ</t>
    </rPh>
    <rPh sb="4" eb="5">
      <t>ハバ</t>
    </rPh>
    <phoneticPr fontId="3"/>
  </si>
  <si>
    <t>利益確定待時間</t>
    <rPh sb="0" eb="2">
      <t>リエキ</t>
    </rPh>
    <rPh sb="2" eb="4">
      <t>カクテイ</t>
    </rPh>
    <rPh sb="4" eb="5">
      <t>マ</t>
    </rPh>
    <rPh sb="5" eb="7">
      <t>ジカン</t>
    </rPh>
    <phoneticPr fontId="3"/>
  </si>
  <si>
    <t>新規買い</t>
    <rPh sb="0" eb="2">
      <t>シンキ</t>
    </rPh>
    <rPh sb="2" eb="3">
      <t>カ</t>
    </rPh>
    <phoneticPr fontId="3"/>
  </si>
  <si>
    <t>発注希望時刻</t>
    <rPh sb="0" eb="2">
      <t>ハッチュウ</t>
    </rPh>
    <rPh sb="2" eb="4">
      <t>キボウ</t>
    </rPh>
    <rPh sb="4" eb="6">
      <t>ジコク</t>
    </rPh>
    <phoneticPr fontId="3"/>
  </si>
  <si>
    <t>現在時刻</t>
    <rPh sb="0" eb="2">
      <t>ゲンザイ</t>
    </rPh>
    <rPh sb="2" eb="4">
      <t>ジコク</t>
    </rPh>
    <phoneticPr fontId="3"/>
  </si>
  <si>
    <t>損切値幅</t>
    <rPh sb="0" eb="2">
      <t>ソンギリ</t>
    </rPh>
    <rPh sb="2" eb="4">
      <t>ネハバ</t>
    </rPh>
    <phoneticPr fontId="3"/>
  </si>
  <si>
    <t>建玉単価</t>
    <rPh sb="0" eb="1">
      <t>ケン</t>
    </rPh>
    <rPh sb="1" eb="2">
      <t>タマ</t>
    </rPh>
    <rPh sb="2" eb="4">
      <t>タンカ</t>
    </rPh>
    <phoneticPr fontId="3"/>
  </si>
  <si>
    <t>現在値</t>
    <rPh sb="0" eb="2">
      <t>ゲンザイ</t>
    </rPh>
    <rPh sb="2" eb="3">
      <t>ネ</t>
    </rPh>
    <phoneticPr fontId="3"/>
  </si>
  <si>
    <t>売り気配</t>
    <rPh sb="0" eb="1">
      <t>ウ</t>
    </rPh>
    <rPh sb="2" eb="4">
      <t>ケハイ</t>
    </rPh>
    <phoneticPr fontId="3"/>
  </si>
  <si>
    <t>買い気配</t>
    <rPh sb="0" eb="1">
      <t>カ</t>
    </rPh>
    <rPh sb="2" eb="4">
      <t>ケハイ</t>
    </rPh>
    <phoneticPr fontId="3"/>
  </si>
  <si>
    <t>***END***</t>
    <phoneticPr fontId="3"/>
  </si>
  <si>
    <t>評価損益</t>
    <rPh sb="0" eb="2">
      <t>ヒョウカ</t>
    </rPh>
    <rPh sb="2" eb="4">
      <t>ソンエキ</t>
    </rPh>
    <phoneticPr fontId="3"/>
  </si>
  <si>
    <t>***END***</t>
    <phoneticPr fontId="3"/>
  </si>
  <si>
    <t>trade1</t>
    <phoneticPr fontId="3"/>
  </si>
  <si>
    <t>trade1</t>
    <phoneticPr fontId="3"/>
  </si>
  <si>
    <t>***END***</t>
    <phoneticPr fontId="3"/>
  </si>
  <si>
    <t>決済希望時刻</t>
    <rPh sb="0" eb="2">
      <t>ケッサイ</t>
    </rPh>
    <rPh sb="2" eb="4">
      <t>キボウ</t>
    </rPh>
    <rPh sb="4" eb="6">
      <t>ジコク</t>
    </rPh>
    <phoneticPr fontId="3"/>
  </si>
  <si>
    <t>trade2</t>
    <phoneticPr fontId="3"/>
  </si>
  <si>
    <t>trade2</t>
    <phoneticPr fontId="3"/>
  </si>
  <si>
    <t>評価損益額</t>
    <rPh sb="0" eb="2">
      <t>ヒョウカ</t>
    </rPh>
    <rPh sb="2" eb="4">
      <t>ソンエキ</t>
    </rPh>
    <rPh sb="4" eb="5">
      <t>ガク</t>
    </rPh>
    <phoneticPr fontId="3"/>
  </si>
  <si>
    <t>評価損益額</t>
    <rPh sb="0" eb="2">
      <t>ヒョウカ</t>
    </rPh>
    <rPh sb="2" eb="4">
      <t>ソンエキ</t>
    </rPh>
    <rPh sb="4" eb="5">
      <t>ガク</t>
    </rPh>
    <phoneticPr fontId="3"/>
  </si>
  <si>
    <t>取引限月</t>
    <rPh sb="0" eb="2">
      <t>トリヒキ</t>
    </rPh>
    <rPh sb="2" eb="3">
      <t>カギ</t>
    </rPh>
    <rPh sb="3" eb="4">
      <t>ツキ</t>
    </rPh>
    <phoneticPr fontId="3"/>
  </si>
  <si>
    <t>"1"</t>
    <phoneticPr fontId="3"/>
  </si>
  <si>
    <t>"2"</t>
    <phoneticPr fontId="3"/>
  </si>
  <si>
    <t>"3"</t>
    <phoneticPr fontId="3"/>
  </si>
  <si>
    <t>"4"</t>
    <phoneticPr fontId="3"/>
  </si>
  <si>
    <t>"5"</t>
    <phoneticPr fontId="3"/>
  </si>
  <si>
    <t>"6"</t>
    <phoneticPr fontId="3"/>
  </si>
  <si>
    <t>建て日時</t>
    <rPh sb="0" eb="1">
      <t>タ</t>
    </rPh>
    <rPh sb="2" eb="4">
      <t>ニチジ</t>
    </rPh>
    <phoneticPr fontId="3"/>
  </si>
  <si>
    <t>trade3</t>
    <phoneticPr fontId="3"/>
  </si>
  <si>
    <t>trade3</t>
    <phoneticPr fontId="3"/>
  </si>
  <si>
    <t>"8"</t>
    <phoneticPr fontId="3"/>
  </si>
  <si>
    <t>"9"</t>
    <phoneticPr fontId="3"/>
  </si>
  <si>
    <t>"7"</t>
    <phoneticPr fontId="3"/>
  </si>
  <si>
    <t>○○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</si>
</sst>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76" formatCode="#,##0&quot;分&quot;"/>
    <numFmt numFmtId="177" formatCode="0&quot;分&quot;"/>
    <numFmt numFmtId="178" formatCode="0&quot;円&quot;"/>
    <numFmt numFmtId="179" formatCode="#,##0.0000;[Red]\-#,##0.0000"/>
    <numFmt numFmtId="180" formatCode="h:mm:ss;@"/>
    <numFmt numFmtId="181" formatCode="yyyy/m/d\ h:mm;@"/>
  </numFmts>
  <fonts count="6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b/>
      <sz val="18"/>
      <color theme="3"/>
      <name val="ＭＳ Ｐゴシック"/>
      <family val="2"/>
      <charset val="128"/>
      <scheme val="major"/>
    </font>
    <font>
      <sz val="6"/>
      <name val="ＭＳ Ｐゴシック"/>
      <family val="3"/>
      <charset val="128"/>
      <scheme val="minor"/>
    </font>
    <font>
      <sz val="9"/>
      <color indexed="10"/>
      <name val="ＭＳ Ｐ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31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0" fillId="2" borderId="0" xfId="0" applyFill="1"/>
    <xf numFmtId="176" fontId="0" fillId="0" borderId="0" xfId="1" applyNumberFormat="1" applyFont="1" applyAlignment="1">
      <alignment horizontal="left" vertical="center" wrapText="1"/>
    </xf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22" fontId="0" fillId="0" borderId="0" xfId="0" applyNumberFormat="1"/>
    <xf numFmtId="22" fontId="0" fillId="0" borderId="5" xfId="0" applyNumberFormat="1" applyBorder="1"/>
    <xf numFmtId="0" fontId="0" fillId="0" borderId="0" xfId="0" applyFill="1"/>
    <xf numFmtId="178" fontId="0" fillId="4" borderId="0" xfId="0" applyNumberFormat="1" applyFont="1" applyFill="1"/>
    <xf numFmtId="177" fontId="0" fillId="4" borderId="0" xfId="0" applyNumberFormat="1" applyFill="1"/>
    <xf numFmtId="22" fontId="0" fillId="4" borderId="0" xfId="1" applyNumberFormat="1" applyFont="1" applyFill="1" applyAlignment="1"/>
    <xf numFmtId="3" fontId="0" fillId="0" borderId="0" xfId="0" applyNumberFormat="1"/>
    <xf numFmtId="22" fontId="0" fillId="0" borderId="0" xfId="0" applyNumberFormat="1" applyBorder="1"/>
    <xf numFmtId="3" fontId="0" fillId="0" borderId="0" xfId="0" applyNumberFormat="1" applyBorder="1"/>
    <xf numFmtId="0" fontId="0" fillId="0" borderId="1" xfId="0" applyBorder="1"/>
    <xf numFmtId="0" fontId="0" fillId="0" borderId="2" xfId="0" applyBorder="1"/>
    <xf numFmtId="0" fontId="0" fillId="0" borderId="2" xfId="0" applyFill="1" applyBorder="1"/>
    <xf numFmtId="0" fontId="0" fillId="0" borderId="3" xfId="0" applyFill="1" applyBorder="1"/>
    <xf numFmtId="179" fontId="0" fillId="0" borderId="0" xfId="1" applyNumberFormat="1" applyFont="1" applyAlignment="1"/>
    <xf numFmtId="0" fontId="0" fillId="0" borderId="0" xfId="0" applyFill="1" applyBorder="1"/>
    <xf numFmtId="0" fontId="0" fillId="4" borderId="0" xfId="0" applyFill="1"/>
    <xf numFmtId="180" fontId="0" fillId="0" borderId="0" xfId="0" applyNumberFormat="1"/>
    <xf numFmtId="181" fontId="0" fillId="0" borderId="0" xfId="1" applyNumberFormat="1" applyFont="1" applyFill="1" applyAlignment="1"/>
    <xf numFmtId="0" fontId="0" fillId="3" borderId="4" xfId="0" applyFill="1" applyBorder="1" applyAlignment="1">
      <alignment horizontal="center"/>
    </xf>
    <xf numFmtId="0" fontId="0" fillId="3" borderId="0" xfId="0" applyFill="1" applyBorder="1" applyAlignment="1">
      <alignment horizont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volatileDependencies.xml><?xml version="1.0" encoding="utf-8"?>
<volTypes xmlns="http://schemas.openxmlformats.org/spreadsheetml/2006/main">
  <volType type="realTimeData">
    <main first="oson2.rtdserver">
      <tp t="s">
        <v>09:52:28</v>
        <stp/>
        <stp>FQUOTE</stp>
        <stp>N225mini</stp>
        <stp>201706</stp>
        <stp>現在値時刻</stp>
        <tr r="H3" s="1"/>
        <tr r="H3" s="5"/>
        <tr r="H3" s="6"/>
      </tp>
    </main>
    <main first="oson2.rtdserver2">
      <tp t="e">
        <v>#N/A</v>
        <stp/>
        <stp>買い1</stp>
        <stp>=FOPPOSITION("商品種別",W13,"0")</stp>
        <tr r="W12" s="1"/>
      </tp>
      <tp t="e">
        <v>#N/A</v>
        <stp/>
        <stp>買い3</stp>
        <stp>=FOPPOSITION("商品種別",W13,"0")</stp>
        <tr r="W12" s="6"/>
      </tp>
      <tp t="e">
        <v>#N/A</v>
        <stp/>
        <stp>買い2</stp>
        <stp>=FOPPOSITION("商品種別",W13,"0")</stp>
        <tr r="W12" s="5"/>
      </tp>
      <tp t="e">
        <v>#N/A</v>
        <stp/>
        <stp>買い1</stp>
        <stp>=FOPORDQUERY("1","2","銘柄コード",X23)</stp>
        <tr r="X22" s="1"/>
      </tp>
      <tp t="e">
        <v>#N/A</v>
        <stp/>
        <stp>買い3</stp>
        <stp>=FOPORDQUERY("1","2","銘柄コード",X23)</stp>
        <tr r="X22" s="6"/>
      </tp>
      <tp t="e">
        <v>#N/A</v>
        <stp/>
        <stp>買い2</stp>
        <stp>=FOPORDQUERY("1","2","銘柄コード",X23)</stp>
        <tr r="X22" s="5"/>
      </tp>
      <tp t="e">
        <v>#N/A</v>
        <stp/>
        <stp>買い2</stp>
        <stp>=FOPORDQUERY("1","2","訂正可能フラグ",AI23)</stp>
        <tr r="AI22" s="5"/>
      </tp>
      <tp t="e">
        <v>#N/A</v>
        <stp/>
        <stp>買い3</stp>
        <stp>=FOPORDQUERY("1","2","訂正可能フラグ",AI23)</stp>
        <tr r="AI22" s="6"/>
      </tp>
      <tp t="e">
        <v>#N/A</v>
        <stp/>
        <stp>買い1</stp>
        <stp>=FOPORDQUERY("1","2","訂正可能フラグ",AI23)</stp>
        <tr r="AI22" s="1"/>
      </tp>
      <tp t="e">
        <v>#N/A</v>
        <stp/>
        <stp>買い2</stp>
        <stp>=FOPORDQUERY("1","2","商品種別",Z23)</stp>
        <tr r="Z22" s="5"/>
      </tp>
      <tp t="e">
        <v>#N/A</v>
        <stp/>
        <stp>買い3</stp>
        <stp>=FOPORDQUERY("1","2","商品種別",Z23)</stp>
        <tr r="Z22" s="6"/>
      </tp>
      <tp t="e">
        <v>#N/A</v>
        <stp/>
        <stp>買い1</stp>
        <stp>=FOPORDQUERY("1","2","商品種別",Z23)</stp>
        <tr r="Z22" s="1"/>
      </tp>
      <tp t="e">
        <v>#N/A</v>
        <stp/>
        <stp>買い1</stp>
        <stp>=FOPPOSITION("売買",X13,"0")</stp>
        <tr r="X12" s="1"/>
      </tp>
      <tp t="e">
        <v>#N/A</v>
        <stp/>
        <stp>買い2</stp>
        <stp>=FOPPOSITION("売買",X13,"0")</stp>
        <tr r="X12" s="5"/>
      </tp>
      <tp t="e">
        <v>#N/A</v>
        <stp/>
        <stp>買い3</stp>
        <stp>=FOPPOSITION("売買",X13,"0")</stp>
        <tr r="X12" s="6"/>
      </tp>
      <tp t="e">
        <v>#N/A</v>
        <stp/>
        <stp>買い1</stp>
        <stp>=FOPPOSITION("建玉枝番号",AA13,"0")</stp>
        <tr r="AA12" s="1"/>
      </tp>
      <tp t="e">
        <v>#N/A</v>
        <stp/>
        <stp>買い3</stp>
        <stp>=FOPPOSITION("建玉枝番号",AA13,"0")</stp>
        <tr r="AA12" s="6"/>
      </tp>
      <tp t="e">
        <v>#N/A</v>
        <stp/>
        <stp>買い2</stp>
        <stp>=FOPPOSITION("建玉枝番号",AA13,"0")</stp>
        <tr r="AA12" s="5"/>
      </tp>
      <tp t="e">
        <v>#N/A</v>
        <stp/>
        <stp>買い2</stp>
        <stp>=FOPPOSITION("数量",Y13,"0")</stp>
        <tr r="Y12" s="5"/>
      </tp>
      <tp t="e">
        <v>#N/A</v>
        <stp/>
        <stp>買い3</stp>
        <stp>=FOPPOSITION("数量",Y13,"0")</stp>
        <tr r="Y12" s="6"/>
      </tp>
      <tp t="e">
        <v>#N/A</v>
        <stp/>
        <stp>買い1</stp>
        <stp>=FOPPOSITION("数量",Y13,"0")</stp>
        <tr r="Y12" s="1"/>
      </tp>
      <tp t="e">
        <v>#N/A</v>
        <stp/>
        <stp>買い2</stp>
        <stp>=FOPORDQUERY("1","2","執行条件",AC23)</stp>
        <tr r="AC22" s="5"/>
      </tp>
      <tp t="e">
        <v>#N/A</v>
        <stp/>
        <stp>買い3</stp>
        <stp>=FOPORDQUERY("1","2","執行条件",AC23)</stp>
        <tr r="AC22" s="6"/>
      </tp>
      <tp t="e">
        <v>#N/A</v>
        <stp/>
        <stp>買い1</stp>
        <stp>=FOPORDQUERY("1","2","執行条件",AC23)</stp>
        <tr r="AC22" s="1"/>
      </tp>
      <tp t="e">
        <v>#N/A</v>
        <stp/>
        <stp>買い2</stp>
        <stp>=FOPORDQUERY("1","2","メモ",V23)</stp>
        <tr r="V22" s="5"/>
      </tp>
      <tp t="e">
        <v>#N/A</v>
        <stp/>
        <stp>買い3</stp>
        <stp>=FOPORDQUERY("1","2","メモ",V23)</stp>
        <tr r="V22" s="6"/>
      </tp>
      <tp t="e">
        <v>#N/A</v>
        <stp/>
        <stp>買い1</stp>
        <stp>=FOPORDQUERY("1","2","メモ",V23)</stp>
        <tr r="V22" s="1"/>
      </tp>
      <tp t="e">
        <v>#N/A</v>
        <stp/>
        <stp>買い2</stp>
        <stp>=FOPORDQUERY("1","2","約定数量",AF23)</stp>
        <tr r="AF22" s="5"/>
      </tp>
      <tp t="e">
        <v>#N/A</v>
        <stp/>
        <stp>買い3</stp>
        <stp>=FOPORDQUERY("1","2","約定数量",AF23)</stp>
        <tr r="AF22" s="6"/>
      </tp>
      <tp t="e">
        <v>#N/A</v>
        <stp/>
        <stp>買い1</stp>
        <stp>=FOPORDQUERY("1","2","約定数量",AF23)</stp>
        <tr r="AF22" s="1"/>
      </tp>
      <tp t="e">
        <v>#N/A</v>
        <stp/>
        <stp>買い2</stp>
        <stp>=FOPPOSITION("建玉日時",AD13,"0")</stp>
        <tr r="AD12" s="5"/>
      </tp>
      <tp t="e">
        <v>#N/A</v>
        <stp/>
        <stp>買い2</stp>
        <stp>=FOPPOSITION("建玉単価",AC13,"0")</stp>
        <tr r="AC12" s="5"/>
      </tp>
      <tp t="e">
        <v>#N/A</v>
        <stp/>
        <stp>買い3</stp>
        <stp>=FOPPOSITION("建玉日時",AD13,"0")</stp>
        <tr r="AD12" s="6"/>
      </tp>
      <tp t="e">
        <v>#N/A</v>
        <stp/>
        <stp>買い3</stp>
        <stp>=FOPPOSITION("建玉単価",AC13,"0")</stp>
        <tr r="AC12" s="6"/>
      </tp>
    </main>
    <main first="oson2.rtdserver">
      <tp>
        <v>19750</v>
        <stp/>
        <stp>FQUOTE</stp>
        <stp>N225mini</stp>
        <stp>201706</stp>
        <stp>売気配値</stp>
        <tr r="I3" s="5"/>
        <tr r="I3" s="1"/>
        <tr r="I3" s="6"/>
      </tp>
      <tp>
        <v>19745</v>
        <stp/>
        <stp>FQUOTE</stp>
        <stp>N225mini</stp>
        <stp>201706</stp>
        <stp>買気配値</stp>
        <tr r="J3" s="5"/>
        <tr r="J3" s="1"/>
        <tr r="J3" s="6"/>
      </tp>
    </main>
    <main first="oson2.rtdserver2">
      <tp t="e">
        <v>#N/A</v>
        <stp/>
        <stp>買い1</stp>
        <stp>=FOPPOSITION("建玉日時",AD13,"0")</stp>
        <tr r="AD12" s="1"/>
      </tp>
      <tp t="e">
        <v>#N/A</v>
        <stp/>
        <stp>買い1</stp>
        <stp>=FOPPOSITION("建玉単価",AC13,"0")</stp>
        <tr r="AC12" s="1"/>
      </tp>
      <tp t="e">
        <v>#N/A</v>
        <stp/>
        <stp>買い3</stp>
        <stp>=FOPORDQUERY("1","2","売買",AA23)</stp>
        <tr r="AA22" s="6"/>
      </tp>
      <tp t="e">
        <v>#N/A</v>
        <stp/>
        <stp>買い2</stp>
        <stp>=FOPORDQUERY("1","2","売買",AA23)</stp>
        <tr r="AA22" s="5"/>
      </tp>
      <tp t="e">
        <v>#N/A</v>
        <stp/>
        <stp>買い1</stp>
        <stp>=FOPORDQUERY("1","2","売買",AA23)</stp>
        <tr r="AA22" s="1"/>
      </tp>
      <tp t="e">
        <v>#N/A</v>
        <stp/>
        <stp>買い1</stp>
        <stp>=FOPORDQUERY("1","2","受付日時",AG23)</stp>
        <tr r="AG22" s="1"/>
      </tp>
      <tp t="e">
        <v>#N/A</v>
        <stp/>
        <stp>買い2</stp>
        <stp>=FOPORDQUERY("1","2","受付日時",AG23)</stp>
        <tr r="AG22" s="5"/>
      </tp>
      <tp t="e">
        <v>#N/A</v>
        <stp/>
        <stp>買い3</stp>
        <stp>=FOPORDQUERY("1","2","受付日時",AG23)</stp>
        <tr r="AG22" s="6"/>
      </tp>
      <tp t="e">
        <v>#N/A</v>
        <stp/>
        <stp>買い1</stp>
        <stp>=FOPORDQUERY("1","2","注文数量",AE23)</stp>
        <tr r="AE22" s="1"/>
      </tp>
      <tp t="e">
        <v>#N/A</v>
        <stp/>
        <stp>買い1</stp>
        <stp>=FOPORDQUERY("1","2","注文単価",AD23)</stp>
        <tr r="AD22" s="1"/>
      </tp>
      <tp t="e">
        <v>#N/A</v>
        <stp/>
        <stp>買い2</stp>
        <stp>=FOPORDQUERY("1","2","注文数量",AE23)</stp>
        <tr r="AE22" s="5"/>
      </tp>
      <tp t="e">
        <v>#N/A</v>
        <stp/>
        <stp>買い2</stp>
        <stp>=FOPORDQUERY("1","2","注文単価",AD23)</stp>
        <tr r="AD22" s="5"/>
      </tp>
      <tp t="e">
        <v>#N/A</v>
        <stp/>
        <stp>買い3</stp>
        <stp>=FOPORDQUERY("1","2","注文数量",AE23)</stp>
        <tr r="AE22" s="6"/>
      </tp>
      <tp t="e">
        <v>#N/A</v>
        <stp/>
        <stp>買い3</stp>
        <stp>=FOPORDQUERY("1","2","注文単価",AD23)</stp>
        <tr r="AD22" s="6"/>
      </tp>
    </main>
    <main first="oson2.rtdserver">
      <tp>
        <v>19750</v>
        <stp/>
        <stp>FQUOTE</stp>
        <stp>N225mini</stp>
        <stp>201706</stp>
        <stp>現在値</stp>
        <tr r="K3" s="5"/>
        <tr r="K3" s="1"/>
        <tr r="K3" s="6"/>
      </tp>
    </main>
    <main first="oson2.rtdserver2">
      <tp t="e">
        <v>#N/A</v>
        <stp/>
        <stp>買い1</stp>
        <stp>=FOPORDQUERY("1","2","取引種別",AB23)</stp>
        <tr r="AB22" s="1"/>
      </tp>
      <tp t="e">
        <v>#N/A</v>
        <stp/>
        <stp>買い3</stp>
        <stp>=FOPORDQUERY("1","2","銘柄名",Y23)</stp>
        <tr r="Y22" s="6"/>
      </tp>
      <tp t="e">
        <v>#N/A</v>
        <stp/>
        <stp>買い2</stp>
        <stp>=FOPORDQUERY("1","2","銘柄名",Y23)</stp>
        <tr r="Y22" s="5"/>
      </tp>
      <tp t="e">
        <v>#N/A</v>
        <stp/>
        <stp>買い1</stp>
        <stp>=FOPORDQUERY("1","2","銘柄名",Y23)</stp>
        <tr r="Y22" s="1"/>
      </tp>
      <tp t="e">
        <v>#N/A</v>
        <stp/>
        <stp>買い2</stp>
        <stp>=FOPORDQUERY("1","2","取引種別",AB23)</stp>
        <tr r="AB22" s="5"/>
      </tp>
      <tp t="e">
        <v>#N/A</v>
        <stp/>
        <stp>買い1</stp>
        <stp>=FOPPOSITION("メモ",AB13,"0")</stp>
        <tr r="AB12" s="1"/>
      </tp>
      <tp t="e">
        <v>#N/A</v>
        <stp/>
        <stp>買い3</stp>
        <stp>=FOPPOSITION("メモ",AB13,"0")</stp>
        <tr r="AB12" s="6"/>
      </tp>
      <tp t="e">
        <v>#N/A</v>
        <stp/>
        <stp>買い2</stp>
        <stp>=FOPPOSITION("メモ",AB13,"0")</stp>
        <tr r="AB12" s="5"/>
      </tp>
      <tp t="e">
        <v>#N/A</v>
        <stp/>
        <stp>買い3</stp>
        <stp>=FOPORDQUERY("1","2","取引種別",AB23)</stp>
        <tr r="AB22" s="6"/>
      </tp>
    </main>
    <main first="oson2.rtdserver">
      <tp t="s">
        <v>201706</v>
        <stp/>
        <stp>FQUOTE</stp>
        <stp>N225mini</stp>
        <stp>201706</stp>
        <stp>限月</stp>
        <tr r="G3" s="6"/>
        <tr r="G3" s="5"/>
        <tr r="G3" s="1"/>
      </tp>
    </main>
    <main first="oson2.rtdserver2">
      <tp t="e">
        <v>#N/A</v>
        <stp/>
        <stp>買い2</stp>
        <stp>=FOPPOSITION("建玉番号",Z13,"0")</stp>
        <tr r="Z12" s="5"/>
      </tp>
      <tp t="e">
        <v>#N/A</v>
        <stp/>
        <stp>買い3</stp>
        <stp>=FOPPOSITION("建玉番号",Z13,"0")</stp>
        <tr r="Z12" s="6"/>
      </tp>
      <tp t="e">
        <v>#N/A</v>
        <stp/>
        <stp>買い1</stp>
        <stp>=FOPPOSITION("建玉番号",Z13,"0")</stp>
        <tr r="Z12" s="1"/>
      </tp>
    </main>
    <main first="oson2.rtdserver">
      <tp t="s">
        <v>162060019</v>
        <stp/>
        <stp>FQUOTE</stp>
        <stp>N225mini</stp>
        <stp>201706</stp>
        <stp>銘柄コード</stp>
        <tr r="E3" s="6"/>
        <tr r="E3" s="5"/>
        <tr r="E3" s="1"/>
      </tp>
    </main>
    <main first="oson2.rtdserver2">
      <tp t="e">
        <v>#N/A</v>
        <stp/>
        <stp>買い1</stp>
        <stp>=FOPORDQUERY("1","2","注文番号",W23)</stp>
        <tr r="W22" s="1"/>
      </tp>
      <tp t="e">
        <v>#N/A</v>
        <stp/>
        <stp>買い3</stp>
        <stp>=FOPORDQUERY("1","2","注文番号",W23)</stp>
        <tr r="W22" s="6"/>
      </tp>
      <tp t="e">
        <v>#N/A</v>
        <stp/>
        <stp>買い2</stp>
        <stp>=FOPORDQUERY("1","2","注文番号",W23)</stp>
        <tr r="W22" s="5"/>
      </tp>
    </main>
    <main first="oson2.rtdserver">
      <tp t="s">
        <v>N225ミニ17/06</v>
        <stp/>
        <stp>FQUOTE</stp>
        <stp>N225mini</stp>
        <stp>201706</stp>
        <stp>銘柄名</stp>
        <tr r="F3" s="6"/>
        <tr r="F3" s="5"/>
        <tr r="F3" s="1"/>
      </tp>
    </main>
    <main first="oson2.rtdserver2">
      <tp t="e">
        <v>#N/A</v>
        <stp/>
        <stp>買い1</stp>
        <stp>=FOPORDQUERY("1","2","取消可能フラグ",AJ23)</stp>
        <tr r="AJ22" s="1"/>
      </tp>
      <tp t="e">
        <v>#N/A</v>
        <stp/>
        <stp>買い2</stp>
        <stp>=FOPORDQUERY("1","2","取消可能フラグ",AJ23)</stp>
        <tr r="AJ22" s="5"/>
      </tp>
      <tp t="e">
        <v>#N/A</v>
        <stp/>
        <stp>買い3</stp>
        <stp>=FOPORDQUERY("1","2","取消可能フラグ",AJ23)</stp>
        <tr r="AJ22" s="6"/>
      </tp>
      <tp t="e">
        <v>#N/A</v>
        <stp/>
        <stp>買い2</stp>
        <stp>=FOPORDQUERY("1","2","訂正・取消可能フラグ",AH23)</stp>
        <tr r="AH22" s="5"/>
      </tp>
      <tp t="e">
        <v>#N/A</v>
        <stp/>
        <stp>買い3</stp>
        <stp>=FOPORDQUERY("1","2","訂正・取消可能フラグ",AH23)</stp>
        <tr r="AH22" s="6"/>
      </tp>
      <tp t="e">
        <v>#N/A</v>
        <stp/>
        <stp>買い1</stp>
        <stp>=FOPORDQUERY("1","2","訂正・取消可能フラグ",AH23)</stp>
        <tr r="AH22" s="1"/>
      </tp>
    </main>
  </volType>
</volType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openxmlformats.org/officeDocument/2006/relationships/volatileDependencies" Target="volatileDependenci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%20Files%20(x86)/Okasan%20Online%20Securities%20Co.,Ltd/&#23713;&#19977;RSS/&#23713;&#19977;RSS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</sheetNames>
    <definedNames>
      <definedName name="FNEWORDER"/>
      <definedName name="FOPORDQUERY"/>
      <definedName name="FOPPOSITION"/>
      <definedName name="FQUOTE"/>
      <definedName name="freplaceorder"/>
    </defined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3"/>
  <sheetViews>
    <sheetView zoomScale="55" zoomScaleNormal="55" workbookViewId="0">
      <selection activeCell="K29" sqref="K29"/>
    </sheetView>
  </sheetViews>
  <sheetFormatPr defaultRowHeight="13.2" x14ac:dyDescent="0.2"/>
  <cols>
    <col min="1" max="2" width="16.109375" bestFit="1" customWidth="1"/>
    <col min="3" max="3" width="10" bestFit="1" customWidth="1"/>
    <col min="5" max="5" width="9.6640625" bestFit="1" customWidth="1"/>
    <col min="19" max="19" width="17.6640625" customWidth="1"/>
    <col min="28" max="28" width="10.88671875" customWidth="1"/>
    <col min="29" max="29" width="16.109375" customWidth="1"/>
    <col min="30" max="30" width="16.109375" bestFit="1" customWidth="1"/>
    <col min="31" max="31" width="16.77734375" customWidth="1"/>
    <col min="32" max="32" width="18.33203125" customWidth="1"/>
    <col min="33" max="33" width="15.77734375" customWidth="1"/>
  </cols>
  <sheetData>
    <row r="1" spans="1:32" x14ac:dyDescent="0.2">
      <c r="A1" t="s">
        <v>107</v>
      </c>
      <c r="B1" s="26">
        <v>201706</v>
      </c>
    </row>
    <row r="2" spans="1:32" x14ac:dyDescent="0.2">
      <c r="A2" t="s">
        <v>90</v>
      </c>
      <c r="B2" s="11">
        <f ca="1">NOW()</f>
        <v>42880.411484490738</v>
      </c>
      <c r="E2" t="s">
        <v>85</v>
      </c>
      <c r="I2" t="s">
        <v>94</v>
      </c>
      <c r="J2" t="s">
        <v>95</v>
      </c>
      <c r="K2" t="s">
        <v>93</v>
      </c>
    </row>
    <row r="3" spans="1:32" x14ac:dyDescent="0.2">
      <c r="A3" t="s">
        <v>88</v>
      </c>
      <c r="E3" t="str">
        <f>[1]!FQUOTE("N225mini",B1,"銘柄コード")</f>
        <v>162060019</v>
      </c>
      <c r="F3" t="str">
        <f>[1]!FQUOTE("N225mini",B1,"銘柄名")</f>
        <v>N225ミニ17/06</v>
      </c>
      <c r="G3" t="str">
        <f>[1]!FQUOTE("N225mini",B1,"限月")</f>
        <v>201706</v>
      </c>
      <c r="H3" t="str">
        <f>[1]!FQUOTE("N225mini",B1,"現在値時刻")</f>
        <v>09:52:28</v>
      </c>
      <c r="I3">
        <f>[1]!FQUOTE("N225mini",B1,"売気配値")</f>
        <v>19750</v>
      </c>
      <c r="J3">
        <f>[1]!FQUOTE("N225mini",B1,"買気配値")</f>
        <v>19745</v>
      </c>
      <c r="K3">
        <f>[1]!FQUOTE("N225mini",B1,"現在値")</f>
        <v>19750</v>
      </c>
      <c r="AE3" s="11">
        <f ca="1">NOW()</f>
        <v>42880.411484490738</v>
      </c>
      <c r="AF3" s="11" t="e">
        <f>TIMEVALUE("0:00:10")+AD13</f>
        <v>#VALUE!</v>
      </c>
    </row>
    <row r="4" spans="1:32" x14ac:dyDescent="0.2">
      <c r="A4" t="s">
        <v>89</v>
      </c>
      <c r="B4" s="16">
        <v>42879.954861111109</v>
      </c>
      <c r="AF4" s="11">
        <f>C7+B4</f>
        <v>42879.961805555555</v>
      </c>
    </row>
    <row r="5" spans="1:32" x14ac:dyDescent="0.2">
      <c r="A5" t="s">
        <v>102</v>
      </c>
      <c r="B5" s="28">
        <f>+B4+TIME(0,1,0)</f>
        <v>42879.955555555556</v>
      </c>
      <c r="C5" t="s">
        <v>114</v>
      </c>
      <c r="D5" t="e">
        <f>VLOOKUP(S13,AB13:AD18,3,FALSE)</f>
        <v>#N/A</v>
      </c>
      <c r="E5" s="27" t="e">
        <f>+D5+TIME(0,0,10)</f>
        <v>#N/A</v>
      </c>
      <c r="AF5" s="11"/>
    </row>
    <row r="6" spans="1:32" x14ac:dyDescent="0.2">
      <c r="A6" t="s">
        <v>86</v>
      </c>
      <c r="B6" s="14">
        <v>50</v>
      </c>
      <c r="AE6" t="str">
        <f ca="1">IF(B2&gt;=B5,"発注OK","発注NG")</f>
        <v>発注OK</v>
      </c>
      <c r="AF6" t="s">
        <v>83</v>
      </c>
    </row>
    <row r="7" spans="1:32" x14ac:dyDescent="0.2">
      <c r="A7" t="s">
        <v>87</v>
      </c>
      <c r="B7" s="15">
        <v>10</v>
      </c>
      <c r="C7" s="24">
        <f>TIME(0,B7,0)</f>
        <v>6.9444444444444441E-3</v>
      </c>
      <c r="AE7" t="str">
        <f ca="1">IF(AE3&gt;AF4,"発注OK","発注NG")</f>
        <v>発注OK</v>
      </c>
      <c r="AF7" t="s">
        <v>84</v>
      </c>
    </row>
    <row r="8" spans="1:32" x14ac:dyDescent="0.2">
      <c r="A8" t="s">
        <v>91</v>
      </c>
      <c r="B8" s="14">
        <v>-50</v>
      </c>
      <c r="AE8" t="e">
        <f>IF(VLOOKUP(S14,AB13:AE18,4,FALSE)&lt;B8,"発注OK","-")</f>
        <v>#N/A</v>
      </c>
      <c r="AF8" t="s">
        <v>106</v>
      </c>
    </row>
    <row r="10" spans="1:32" ht="13.8" thickBot="1" x14ac:dyDescent="0.25">
      <c r="A10" t="s">
        <v>60</v>
      </c>
      <c r="B10" t="s">
        <v>59</v>
      </c>
      <c r="C10" t="s">
        <v>69</v>
      </c>
      <c r="D10" t="s">
        <v>3</v>
      </c>
      <c r="E10" t="s">
        <v>4</v>
      </c>
      <c r="F10" t="s">
        <v>5</v>
      </c>
      <c r="G10" t="s">
        <v>6</v>
      </c>
      <c r="H10" t="s">
        <v>7</v>
      </c>
      <c r="I10" t="s">
        <v>8</v>
      </c>
      <c r="J10" t="s">
        <v>9</v>
      </c>
      <c r="K10" s="13" t="s">
        <v>10</v>
      </c>
      <c r="L10" t="s">
        <v>11</v>
      </c>
      <c r="M10" s="3" t="s">
        <v>12</v>
      </c>
      <c r="N10" t="s">
        <v>13</v>
      </c>
      <c r="O10" t="s">
        <v>14</v>
      </c>
      <c r="P10" s="3" t="s">
        <v>15</v>
      </c>
      <c r="Q10" t="s">
        <v>16</v>
      </c>
      <c r="R10" t="s">
        <v>17</v>
      </c>
      <c r="S10" t="s">
        <v>18</v>
      </c>
      <c r="T10" t="s">
        <v>19</v>
      </c>
      <c r="U10" t="s">
        <v>20</v>
      </c>
      <c r="W10" s="29" t="s">
        <v>68</v>
      </c>
      <c r="X10" s="30"/>
      <c r="Y10" s="30"/>
      <c r="Z10" s="30"/>
      <c r="AA10" s="30"/>
      <c r="AB10" s="30"/>
      <c r="AC10" s="30"/>
      <c r="AD10" s="30"/>
    </row>
    <row r="11" spans="1:32" x14ac:dyDescent="0.2">
      <c r="A11" s="4"/>
      <c r="B11" s="4"/>
      <c r="D11" t="s">
        <v>0</v>
      </c>
      <c r="E11" t="s">
        <v>1</v>
      </c>
      <c r="F11" t="s">
        <v>21</v>
      </c>
      <c r="G11" t="s">
        <v>22</v>
      </c>
      <c r="H11" t="s">
        <v>23</v>
      </c>
      <c r="I11" t="s">
        <v>2</v>
      </c>
      <c r="J11" t="s">
        <v>24</v>
      </c>
      <c r="K11" s="13" t="s">
        <v>25</v>
      </c>
      <c r="L11" t="s">
        <v>26</v>
      </c>
      <c r="M11" s="3" t="s">
        <v>27</v>
      </c>
      <c r="N11" t="s">
        <v>28</v>
      </c>
      <c r="O11" t="s">
        <v>29</v>
      </c>
      <c r="P11" s="3" t="s">
        <v>30</v>
      </c>
      <c r="Q11" t="s">
        <v>31</v>
      </c>
      <c r="R11" t="s">
        <v>32</v>
      </c>
      <c r="S11" t="s">
        <v>33</v>
      </c>
      <c r="T11" t="s">
        <v>34</v>
      </c>
      <c r="U11" t="s">
        <v>35</v>
      </c>
      <c r="W11" s="20" t="s">
        <v>61</v>
      </c>
      <c r="X11" s="21" t="s">
        <v>62</v>
      </c>
      <c r="Y11" s="21" t="s">
        <v>63</v>
      </c>
      <c r="Z11" s="21" t="s">
        <v>64</v>
      </c>
      <c r="AA11" s="21" t="s">
        <v>65</v>
      </c>
      <c r="AB11" s="21" t="s">
        <v>66</v>
      </c>
      <c r="AC11" s="22" t="s">
        <v>92</v>
      </c>
      <c r="AD11" s="23" t="s">
        <v>82</v>
      </c>
      <c r="AE11" s="25" t="s">
        <v>97</v>
      </c>
    </row>
    <row r="12" spans="1:32" ht="14.25" customHeight="1" x14ac:dyDescent="0.2">
      <c r="D12" s="2" t="s">
        <v>36</v>
      </c>
      <c r="E12" t="s">
        <v>37</v>
      </c>
      <c r="F12" t="s">
        <v>38</v>
      </c>
      <c r="G12" s="2" t="s">
        <v>39</v>
      </c>
      <c r="H12" t="s">
        <v>40</v>
      </c>
      <c r="I12" t="s">
        <v>41</v>
      </c>
      <c r="J12" t="s">
        <v>42</v>
      </c>
      <c r="K12" s="13" t="s">
        <v>43</v>
      </c>
      <c r="M12" s="3" t="s">
        <v>44</v>
      </c>
      <c r="N12" t="s">
        <v>44</v>
      </c>
      <c r="O12" t="s">
        <v>45</v>
      </c>
      <c r="P12" s="3" t="s">
        <v>46</v>
      </c>
      <c r="Q12" t="s">
        <v>47</v>
      </c>
      <c r="R12" t="s">
        <v>48</v>
      </c>
      <c r="S12" t="s">
        <v>49</v>
      </c>
      <c r="T12" t="s">
        <v>50</v>
      </c>
      <c r="U12" t="s">
        <v>51</v>
      </c>
      <c r="W12" s="5" t="str">
        <f>[1]!FOPPOSITION("商品種別",W13,"0")</f>
        <v>FOPPOSITION("商品種別",W13,"0")</v>
      </c>
      <c r="X12" s="6" t="str">
        <f>[1]!FOPPOSITION("売買",X13,"0")</f>
        <v>FOPPOSITION("売買",X13,"0")</v>
      </c>
      <c r="Y12" s="6" t="str">
        <f>[1]!FOPPOSITION("数量",Y13,"0")</f>
        <v>FOPPOSITION("数量",Y13,"0")</v>
      </c>
      <c r="Z12" s="6" t="str">
        <f>[1]!FOPPOSITION("建玉番号",Z13,"0")</f>
        <v>FOPPOSITION("建玉番号",Z13,"0")</v>
      </c>
      <c r="AA12" s="6" t="str">
        <f>[1]!FOPPOSITION("建玉枝番号",AA13,"0")</f>
        <v>FOPPOSITION("建玉枝番号",AA13,"0")</v>
      </c>
      <c r="AB12" s="6" t="str">
        <f>[1]!FOPPOSITION("メモ",AB13,"0")</f>
        <v>FOPPOSITION("メモ",AB13,"0")</v>
      </c>
      <c r="AC12" s="6" t="str">
        <f>[1]!FOPPOSITION("建玉単価",AC13,"0")</f>
        <v>FOPPOSITION("建玉単価",AC13,"0")</v>
      </c>
      <c r="AD12" s="7" t="str">
        <f>[1]!FOPPOSITION("建玉日時",AD13,"0")</f>
        <v>FOPPOSITION("建玉日時",AD13,"0")</v>
      </c>
    </row>
    <row r="13" spans="1:32" x14ac:dyDescent="0.2">
      <c r="A13" t="s">
        <v>57</v>
      </c>
      <c r="B13" s="1" t="str">
        <f ca="1">IF(B4&lt;B2,"発注","-")</f>
        <v>発注</v>
      </c>
      <c r="C13" t="str">
        <f ca="1">IF(B13="発注",[1]!FNEWORDER(D13,E13,F13,G13,H13,I13,J13,K13,L13,M13,N13,O13,P13,Q13,R13,S13,T13,U13),"-")</f>
        <v>発注完了</v>
      </c>
      <c r="D13" t="s">
        <v>55</v>
      </c>
      <c r="E13">
        <f>+B1</f>
        <v>201706</v>
      </c>
      <c r="F13">
        <v>1</v>
      </c>
      <c r="G13" t="s">
        <v>53</v>
      </c>
      <c r="H13" t="s">
        <v>53</v>
      </c>
      <c r="I13">
        <v>3</v>
      </c>
      <c r="J13">
        <v>0</v>
      </c>
      <c r="K13" s="13">
        <v>0</v>
      </c>
      <c r="L13">
        <v>1</v>
      </c>
      <c r="M13" s="3">
        <v>0</v>
      </c>
      <c r="N13">
        <v>1</v>
      </c>
      <c r="P13" s="13" t="s">
        <v>120</v>
      </c>
      <c r="Q13" t="s">
        <v>108</v>
      </c>
      <c r="R13">
        <v>1</v>
      </c>
      <c r="S13" t="s">
        <v>100</v>
      </c>
      <c r="T13" t="s">
        <v>53</v>
      </c>
      <c r="U13" t="s">
        <v>53</v>
      </c>
      <c r="W13" s="5" t="s">
        <v>56</v>
      </c>
      <c r="X13" s="6" t="s">
        <v>56</v>
      </c>
      <c r="Y13" s="6" t="s">
        <v>56</v>
      </c>
      <c r="Z13" s="6" t="s">
        <v>56</v>
      </c>
      <c r="AA13" s="6" t="s">
        <v>56</v>
      </c>
      <c r="AB13" s="18" t="s">
        <v>56</v>
      </c>
      <c r="AC13" s="19" t="s">
        <v>56</v>
      </c>
      <c r="AD13" s="12" t="s">
        <v>56</v>
      </c>
      <c r="AE13" s="17" t="e">
        <f>+$K$3-AC13</f>
        <v>#VALUE!</v>
      </c>
    </row>
    <row r="14" spans="1:32" x14ac:dyDescent="0.2">
      <c r="A14" t="s">
        <v>58</v>
      </c>
      <c r="B14" s="1" t="str">
        <f ca="1">IF(B5&lt;B2,"発注","-")</f>
        <v>発注</v>
      </c>
      <c r="C14" t="str">
        <f ca="1">IF(B14="発注",[1]!FNEWORDER(D14,E14,F14,G14,H14,I14,J14,K14,L14,M14,N14,O14,P14,Q14,R14,S14,T14,U14),"-")</f>
        <v>発注完了</v>
      </c>
      <c r="D14" t="s">
        <v>54</v>
      </c>
      <c r="E14">
        <f>+B1</f>
        <v>201706</v>
      </c>
      <c r="F14">
        <v>2</v>
      </c>
      <c r="G14" t="s">
        <v>67</v>
      </c>
      <c r="H14" t="s">
        <v>52</v>
      </c>
      <c r="I14">
        <v>1</v>
      </c>
      <c r="J14">
        <v>1</v>
      </c>
      <c r="K14" s="13">
        <f>+I3+B6</f>
        <v>19800</v>
      </c>
      <c r="L14">
        <v>1</v>
      </c>
      <c r="M14" s="3">
        <v>0</v>
      </c>
      <c r="N14">
        <v>1</v>
      </c>
      <c r="P14" s="13" t="s">
        <v>120</v>
      </c>
      <c r="Q14" t="s">
        <v>109</v>
      </c>
      <c r="R14">
        <v>1</v>
      </c>
      <c r="S14" t="s">
        <v>99</v>
      </c>
      <c r="T14" t="s">
        <v>52</v>
      </c>
      <c r="U14" t="s">
        <v>52</v>
      </c>
      <c r="W14" s="5"/>
      <c r="X14" s="6"/>
      <c r="Y14" s="6"/>
      <c r="Z14" s="6"/>
      <c r="AA14" s="6"/>
      <c r="AB14" s="6"/>
      <c r="AC14" s="19"/>
      <c r="AD14" s="12"/>
      <c r="AE14" s="17">
        <f t="shared" ref="AE14:AE18" si="0">+$K$3-AC14</f>
        <v>19750</v>
      </c>
    </row>
    <row r="15" spans="1:32" x14ac:dyDescent="0.2">
      <c r="W15" s="5" t="s">
        <v>56</v>
      </c>
      <c r="X15" s="6" t="s">
        <v>56</v>
      </c>
      <c r="Y15" s="6" t="s">
        <v>56</v>
      </c>
      <c r="Z15" s="6" t="s">
        <v>56</v>
      </c>
      <c r="AA15" s="6" t="s">
        <v>56</v>
      </c>
      <c r="AB15" s="6" t="s">
        <v>56</v>
      </c>
      <c r="AC15" s="19" t="s">
        <v>56</v>
      </c>
      <c r="AD15" s="12" t="s">
        <v>56</v>
      </c>
      <c r="AE15" s="17" t="e">
        <f t="shared" si="0"/>
        <v>#VALUE!</v>
      </c>
    </row>
    <row r="16" spans="1:32" x14ac:dyDescent="0.2">
      <c r="B16" s="1"/>
      <c r="K16" s="13"/>
      <c r="M16" s="3"/>
      <c r="P16" s="3"/>
      <c r="W16" s="5"/>
      <c r="X16" s="6"/>
      <c r="Y16" s="6"/>
      <c r="Z16" s="6"/>
      <c r="AA16" s="6"/>
      <c r="AB16" s="6"/>
      <c r="AC16" s="6"/>
      <c r="AD16" s="7"/>
      <c r="AE16" s="17">
        <f t="shared" si="0"/>
        <v>19750</v>
      </c>
    </row>
    <row r="17" spans="1:37" x14ac:dyDescent="0.2">
      <c r="B17" s="1"/>
      <c r="K17" s="13"/>
      <c r="M17" s="3"/>
      <c r="P17" s="3"/>
      <c r="W17" s="5"/>
      <c r="X17" s="6"/>
      <c r="Y17" s="6"/>
      <c r="Z17" s="6"/>
      <c r="AA17" s="6"/>
      <c r="AB17" s="6"/>
      <c r="AC17" s="6"/>
      <c r="AD17" s="7"/>
      <c r="AE17" s="17">
        <f t="shared" si="0"/>
        <v>19750</v>
      </c>
    </row>
    <row r="18" spans="1:37" ht="13.8" thickBot="1" x14ac:dyDescent="0.25">
      <c r="W18" s="8"/>
      <c r="X18" s="9"/>
      <c r="Y18" s="9"/>
      <c r="Z18" s="9"/>
      <c r="AA18" s="9"/>
      <c r="AB18" s="9"/>
      <c r="AC18" s="9"/>
      <c r="AD18" s="10"/>
      <c r="AE18" s="17">
        <f t="shared" si="0"/>
        <v>19750</v>
      </c>
    </row>
    <row r="22" spans="1:37" x14ac:dyDescent="0.2">
      <c r="V22" t="str">
        <f>[1]!FOPORDQUERY("1","2","メモ",V23)</f>
        <v>FOPORDQUERY("1","2","メモ",V23)</v>
      </c>
      <c r="W22" t="str">
        <f>[1]!FOPORDQUERY("1","2","注文番号",W23)</f>
        <v>FOPORDQUERY("1","2","注文番号",W23)</v>
      </c>
      <c r="X22" t="str">
        <f>[1]!FOPORDQUERY("1","2","銘柄コード",X23)</f>
        <v>FOPORDQUERY("1","2","銘柄コード",X23)</v>
      </c>
      <c r="Y22" t="str">
        <f>[1]!FOPORDQUERY("1","2","銘柄名",Y23)</f>
        <v>FOPORDQUERY("1","2","銘柄名",Y23)</v>
      </c>
      <c r="Z22" t="str">
        <f>[1]!FOPORDQUERY("1","2","商品種別",Z23)</f>
        <v>FOPORDQUERY("1","2","商品種別",Z23)</v>
      </c>
      <c r="AA22" t="str">
        <f>[1]!FOPORDQUERY("1","2","売買",AA23)</f>
        <v>FOPORDQUERY("1","2","売買",AA23)</v>
      </c>
      <c r="AB22" t="str">
        <f>[1]!FOPORDQUERY("1","2","取引種別",AB23)</f>
        <v>FOPORDQUERY("1","2","取引種別",AB23)</v>
      </c>
      <c r="AC22" t="str">
        <f>[1]!FOPORDQUERY("1","2","執行条件",AC23)</f>
        <v>FOPORDQUERY("1","2","執行条件",AC23)</v>
      </c>
      <c r="AD22" t="str">
        <f>[1]!FOPORDQUERY("1","2","注文単価",AD23)</f>
        <v>FOPORDQUERY("1","2","注文単価",AD23)</v>
      </c>
      <c r="AE22" t="str">
        <f>[1]!FOPORDQUERY("1","2","注文数量",AE23)</f>
        <v>FOPORDQUERY("1","2","注文数量",AE23)</v>
      </c>
      <c r="AF22" t="str">
        <f>[1]!FOPORDQUERY("1","2","約定数量",AF23)</f>
        <v>FOPORDQUERY("1","2","約定数量",AF23)</v>
      </c>
      <c r="AG22" t="str">
        <f>[1]!FOPORDQUERY("1","2","受付日時",AG23)</f>
        <v>FOPORDQUERY("1","2","受付日時",AG23)</v>
      </c>
      <c r="AH22" t="str">
        <f>[1]!FOPORDQUERY("1","2","訂正・取消可能フラグ",AH23)</f>
        <v>FOPORDQUERY("1","2","訂正・取消可能フラグ",AH23)</v>
      </c>
      <c r="AI22" t="str">
        <f>[1]!FOPORDQUERY("1","2","訂正可能フラグ",AI23)</f>
        <v>FOPORDQUERY("1","2","訂正可能フラグ",AI23)</v>
      </c>
      <c r="AJ22" t="str">
        <f>[1]!FOPORDQUERY("1","2","取消可能フラグ",AJ23)</f>
        <v>FOPORDQUERY("1","2","取消可能フラグ",AJ23)</v>
      </c>
    </row>
    <row r="23" spans="1:37" x14ac:dyDescent="0.2">
      <c r="V23" t="s">
        <v>56</v>
      </c>
      <c r="W23" t="s">
        <v>56</v>
      </c>
      <c r="X23" t="s">
        <v>56</v>
      </c>
      <c r="Y23" t="s">
        <v>56</v>
      </c>
      <c r="Z23" t="s">
        <v>56</v>
      </c>
      <c r="AA23" t="s">
        <v>56</v>
      </c>
      <c r="AB23" t="s">
        <v>56</v>
      </c>
      <c r="AC23" t="s">
        <v>56</v>
      </c>
      <c r="AD23" t="s">
        <v>56</v>
      </c>
      <c r="AE23" t="s">
        <v>56</v>
      </c>
      <c r="AF23" t="s">
        <v>56</v>
      </c>
      <c r="AG23" s="11" t="s">
        <v>56</v>
      </c>
      <c r="AH23" t="s">
        <v>56</v>
      </c>
      <c r="AI23" t="s">
        <v>56</v>
      </c>
      <c r="AJ23" t="s">
        <v>56</v>
      </c>
      <c r="AK23" t="s">
        <v>98</v>
      </c>
    </row>
    <row r="24" spans="1:37" x14ac:dyDescent="0.2">
      <c r="AG24" s="11"/>
      <c r="AK24" t="s">
        <v>96</v>
      </c>
    </row>
    <row r="25" spans="1:37" x14ac:dyDescent="0.2">
      <c r="D25" t="s">
        <v>3</v>
      </c>
      <c r="E25" t="s">
        <v>4</v>
      </c>
      <c r="F25" t="s">
        <v>5</v>
      </c>
      <c r="G25" t="s">
        <v>6</v>
      </c>
      <c r="H25" s="3" t="s">
        <v>7</v>
      </c>
      <c r="I25" t="s">
        <v>8</v>
      </c>
      <c r="J25" t="s">
        <v>9</v>
      </c>
      <c r="K25" s="3" t="s">
        <v>10</v>
      </c>
      <c r="L25" t="s">
        <v>11</v>
      </c>
      <c r="M25" t="s">
        <v>12</v>
      </c>
      <c r="N25" t="s">
        <v>13</v>
      </c>
      <c r="V25" t="s">
        <v>56</v>
      </c>
      <c r="W25" t="s">
        <v>56</v>
      </c>
      <c r="X25" t="s">
        <v>56</v>
      </c>
      <c r="Y25" t="s">
        <v>56</v>
      </c>
      <c r="Z25" t="s">
        <v>56</v>
      </c>
      <c r="AA25" t="s">
        <v>56</v>
      </c>
      <c r="AB25" t="s">
        <v>56</v>
      </c>
      <c r="AC25" t="s">
        <v>56</v>
      </c>
      <c r="AD25" t="s">
        <v>56</v>
      </c>
      <c r="AE25" t="s">
        <v>56</v>
      </c>
      <c r="AF25" t="s">
        <v>56</v>
      </c>
      <c r="AG25" s="11" t="s">
        <v>56</v>
      </c>
      <c r="AH25" t="s">
        <v>56</v>
      </c>
      <c r="AI25" t="s">
        <v>56</v>
      </c>
      <c r="AJ25" t="s">
        <v>56</v>
      </c>
    </row>
    <row r="26" spans="1:37" x14ac:dyDescent="0.2">
      <c r="D26" t="s">
        <v>71</v>
      </c>
      <c r="E26" t="s">
        <v>24</v>
      </c>
      <c r="F26" t="s">
        <v>25</v>
      </c>
      <c r="G26" t="s">
        <v>26</v>
      </c>
      <c r="H26" s="3" t="s">
        <v>27</v>
      </c>
      <c r="I26" t="s">
        <v>28</v>
      </c>
      <c r="J26" t="s">
        <v>29</v>
      </c>
      <c r="K26" s="3" t="s">
        <v>30</v>
      </c>
      <c r="L26" t="s">
        <v>31</v>
      </c>
      <c r="M26" t="s">
        <v>72</v>
      </c>
      <c r="N26" t="s">
        <v>73</v>
      </c>
    </row>
    <row r="27" spans="1:37" x14ac:dyDescent="0.2">
      <c r="D27" t="s">
        <v>74</v>
      </c>
      <c r="E27" t="s">
        <v>74</v>
      </c>
      <c r="F27" t="s">
        <v>74</v>
      </c>
      <c r="G27" t="s">
        <v>75</v>
      </c>
      <c r="H27" s="3" t="s">
        <v>75</v>
      </c>
      <c r="I27" t="s">
        <v>75</v>
      </c>
      <c r="J27" t="s">
        <v>75</v>
      </c>
      <c r="K27" s="3" t="s">
        <v>74</v>
      </c>
      <c r="L27" t="s">
        <v>74</v>
      </c>
      <c r="M27" t="s">
        <v>74</v>
      </c>
      <c r="N27" t="s">
        <v>74</v>
      </c>
    </row>
    <row r="28" spans="1:37" x14ac:dyDescent="0.2">
      <c r="D28" t="s">
        <v>76</v>
      </c>
      <c r="E28" t="s">
        <v>77</v>
      </c>
      <c r="F28" t="s">
        <v>78</v>
      </c>
      <c r="G28" t="s">
        <v>79</v>
      </c>
      <c r="H28" s="3" t="s">
        <v>44</v>
      </c>
      <c r="I28" t="s">
        <v>44</v>
      </c>
      <c r="J28" t="s">
        <v>45</v>
      </c>
      <c r="K28" s="3" t="s">
        <v>46</v>
      </c>
      <c r="L28" t="s">
        <v>47</v>
      </c>
      <c r="M28" t="s">
        <v>80</v>
      </c>
      <c r="N28" t="s">
        <v>81</v>
      </c>
    </row>
    <row r="29" spans="1:37" x14ac:dyDescent="0.2">
      <c r="A29" t="s">
        <v>70</v>
      </c>
      <c r="B29" t="e">
        <f ca="1">IF(OR(AE8="発注OK",AE7="発注OK"),"発注","-")</f>
        <v>#N/A</v>
      </c>
      <c r="C29" t="e">
        <f ca="1">IF(B29="発注",[1]!freplaceorder(D29,E29,F29,G29,H29,I29,J29,K29,L29,M29,N29))</f>
        <v>#N/A</v>
      </c>
      <c r="D29" t="e">
        <f>VLOOKUP(S14,V23:W33,2,FALSE)</f>
        <v>#N/A</v>
      </c>
      <c r="E29">
        <v>0</v>
      </c>
      <c r="F29">
        <v>0</v>
      </c>
      <c r="G29">
        <v>1</v>
      </c>
      <c r="H29" s="3">
        <v>0</v>
      </c>
      <c r="I29">
        <v>1</v>
      </c>
      <c r="K29" s="13" t="s">
        <v>120</v>
      </c>
      <c r="L29" t="s">
        <v>110</v>
      </c>
      <c r="W29" t="s">
        <v>101</v>
      </c>
    </row>
    <row r="32" spans="1:37" ht="18.75" customHeight="1" x14ac:dyDescent="0.2"/>
    <row r="43" spans="28:28" x14ac:dyDescent="0.2">
      <c r="AB43" s="17"/>
    </row>
  </sheetData>
  <mergeCells count="1">
    <mergeCell ref="W10:AD10"/>
  </mergeCells>
  <phoneticPr fontId="3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3"/>
  <sheetViews>
    <sheetView zoomScale="55" zoomScaleNormal="55" workbookViewId="0">
      <selection activeCell="K29" sqref="K29"/>
    </sheetView>
  </sheetViews>
  <sheetFormatPr defaultRowHeight="13.2" x14ac:dyDescent="0.2"/>
  <cols>
    <col min="1" max="2" width="16.109375" bestFit="1" customWidth="1"/>
    <col min="3" max="3" width="10" bestFit="1" customWidth="1"/>
    <col min="19" max="19" width="17.6640625" customWidth="1"/>
    <col min="28" max="28" width="10.88671875" customWidth="1"/>
    <col min="29" max="29" width="16.109375" customWidth="1"/>
    <col min="30" max="30" width="16.109375" bestFit="1" customWidth="1"/>
    <col min="31" max="31" width="16.77734375" customWidth="1"/>
    <col min="32" max="32" width="18.33203125" customWidth="1"/>
    <col min="33" max="33" width="15.77734375" customWidth="1"/>
  </cols>
  <sheetData>
    <row r="1" spans="1:32" x14ac:dyDescent="0.2">
      <c r="A1" t="s">
        <v>107</v>
      </c>
      <c r="B1" s="26">
        <v>201706</v>
      </c>
    </row>
    <row r="2" spans="1:32" x14ac:dyDescent="0.2">
      <c r="A2" t="s">
        <v>90</v>
      </c>
      <c r="B2" s="11">
        <f ca="1">NOW()</f>
        <v>42880.411484374999</v>
      </c>
      <c r="E2" t="s">
        <v>85</v>
      </c>
      <c r="I2" t="s">
        <v>94</v>
      </c>
      <c r="J2" t="s">
        <v>95</v>
      </c>
      <c r="K2" t="s">
        <v>93</v>
      </c>
    </row>
    <row r="3" spans="1:32" x14ac:dyDescent="0.2">
      <c r="A3" t="s">
        <v>88</v>
      </c>
      <c r="E3" t="str">
        <f>[1]!FQUOTE("N225mini",B1,"銘柄コード")</f>
        <v>162060019</v>
      </c>
      <c r="F3" t="str">
        <f>[1]!FQUOTE("N225mini",B1,"銘柄名")</f>
        <v>N225ミニ17/06</v>
      </c>
      <c r="G3" t="str">
        <f>[1]!FQUOTE("N225mini",B1,"限月")</f>
        <v>201706</v>
      </c>
      <c r="H3" t="str">
        <f>[1]!FQUOTE("N225mini",B1,"現在値時刻")</f>
        <v>09:52:28</v>
      </c>
      <c r="I3">
        <f>[1]!FQUOTE("N225mini",B1,"売気配値")</f>
        <v>19750</v>
      </c>
      <c r="J3">
        <f>[1]!FQUOTE("N225mini",B1,"買気配値")</f>
        <v>19745</v>
      </c>
      <c r="K3">
        <f>[1]!FQUOTE("N225mini",B1,"現在値")</f>
        <v>19750</v>
      </c>
      <c r="AE3" s="11">
        <f ca="1">NOW()</f>
        <v>42880.411484374999</v>
      </c>
      <c r="AF3" s="11" t="e">
        <f>TIMEVALUE("0:00:10")+AD13</f>
        <v>#VALUE!</v>
      </c>
    </row>
    <row r="4" spans="1:32" x14ac:dyDescent="0.2">
      <c r="A4" t="s">
        <v>89</v>
      </c>
      <c r="B4" s="16">
        <v>42879.956250000003</v>
      </c>
      <c r="AF4" s="11">
        <f>C7+B4</f>
        <v>42879.963194444448</v>
      </c>
    </row>
    <row r="5" spans="1:32" x14ac:dyDescent="0.2">
      <c r="A5" t="s">
        <v>102</v>
      </c>
      <c r="B5" s="28">
        <f>+B4+TIME(0,1,0)</f>
        <v>42879.95694444445</v>
      </c>
      <c r="C5" t="s">
        <v>114</v>
      </c>
      <c r="D5" t="e">
        <f>VLOOKUP(S13,AB13:AD18,3,FALSE)</f>
        <v>#N/A</v>
      </c>
      <c r="E5" s="27" t="e">
        <f>+D5+TIME(0,0,10)</f>
        <v>#N/A</v>
      </c>
      <c r="AF5" s="11"/>
    </row>
    <row r="6" spans="1:32" x14ac:dyDescent="0.2">
      <c r="A6" t="s">
        <v>86</v>
      </c>
      <c r="B6" s="14">
        <v>50</v>
      </c>
      <c r="AE6" t="str">
        <f ca="1">IF(B2&gt;=B5,"発注OK","発注NG")</f>
        <v>発注OK</v>
      </c>
      <c r="AF6" t="s">
        <v>83</v>
      </c>
    </row>
    <row r="7" spans="1:32" x14ac:dyDescent="0.2">
      <c r="A7" t="s">
        <v>87</v>
      </c>
      <c r="B7" s="15">
        <v>10</v>
      </c>
      <c r="C7" s="24">
        <f>TIME(0,B7,0)</f>
        <v>6.9444444444444441E-3</v>
      </c>
      <c r="AE7" t="str">
        <f ca="1">IF(AE3&gt;AF4,"発注OK","発注NG")</f>
        <v>発注OK</v>
      </c>
      <c r="AF7" t="s">
        <v>70</v>
      </c>
    </row>
    <row r="8" spans="1:32" x14ac:dyDescent="0.2">
      <c r="A8" t="s">
        <v>91</v>
      </c>
      <c r="B8" s="14">
        <v>-50</v>
      </c>
      <c r="AE8" t="e">
        <f>IF(VLOOKUP(S14,AB13:AE18,4,FALSE)&lt;B8,"発注OK","-")</f>
        <v>#N/A</v>
      </c>
      <c r="AF8" t="s">
        <v>105</v>
      </c>
    </row>
    <row r="10" spans="1:32" ht="13.8" thickBot="1" x14ac:dyDescent="0.25">
      <c r="A10" t="s">
        <v>60</v>
      </c>
      <c r="B10" t="s">
        <v>59</v>
      </c>
      <c r="C10" t="s">
        <v>69</v>
      </c>
      <c r="D10" t="s">
        <v>3</v>
      </c>
      <c r="E10" t="s">
        <v>4</v>
      </c>
      <c r="F10" t="s">
        <v>5</v>
      </c>
      <c r="G10" t="s">
        <v>6</v>
      </c>
      <c r="H10" t="s">
        <v>7</v>
      </c>
      <c r="I10" t="s">
        <v>8</v>
      </c>
      <c r="J10" t="s">
        <v>9</v>
      </c>
      <c r="K10" s="13" t="s">
        <v>10</v>
      </c>
      <c r="L10" t="s">
        <v>11</v>
      </c>
      <c r="M10" s="3" t="s">
        <v>12</v>
      </c>
      <c r="N10" t="s">
        <v>13</v>
      </c>
      <c r="O10" t="s">
        <v>14</v>
      </c>
      <c r="P10" s="3" t="s">
        <v>15</v>
      </c>
      <c r="Q10" t="s">
        <v>16</v>
      </c>
      <c r="R10" t="s">
        <v>17</v>
      </c>
      <c r="S10" t="s">
        <v>18</v>
      </c>
      <c r="T10" t="s">
        <v>19</v>
      </c>
      <c r="U10" t="s">
        <v>20</v>
      </c>
      <c r="W10" s="29" t="s">
        <v>68</v>
      </c>
      <c r="X10" s="30"/>
      <c r="Y10" s="30"/>
      <c r="Z10" s="30"/>
      <c r="AA10" s="30"/>
      <c r="AB10" s="30"/>
      <c r="AC10" s="30"/>
      <c r="AD10" s="30"/>
    </row>
    <row r="11" spans="1:32" x14ac:dyDescent="0.2">
      <c r="A11" s="4"/>
      <c r="B11" s="4"/>
      <c r="D11" t="s">
        <v>0</v>
      </c>
      <c r="E11" t="s">
        <v>1</v>
      </c>
      <c r="F11" t="s">
        <v>21</v>
      </c>
      <c r="G11" t="s">
        <v>22</v>
      </c>
      <c r="H11" t="s">
        <v>23</v>
      </c>
      <c r="I11" t="s">
        <v>2</v>
      </c>
      <c r="J11" t="s">
        <v>24</v>
      </c>
      <c r="K11" s="13" t="s">
        <v>25</v>
      </c>
      <c r="L11" t="s">
        <v>26</v>
      </c>
      <c r="M11" s="3" t="s">
        <v>27</v>
      </c>
      <c r="N11" t="s">
        <v>28</v>
      </c>
      <c r="O11" t="s">
        <v>29</v>
      </c>
      <c r="P11" s="3" t="s">
        <v>30</v>
      </c>
      <c r="Q11" t="s">
        <v>31</v>
      </c>
      <c r="R11" t="s">
        <v>32</v>
      </c>
      <c r="S11" t="s">
        <v>33</v>
      </c>
      <c r="T11" t="s">
        <v>34</v>
      </c>
      <c r="U11" t="s">
        <v>35</v>
      </c>
      <c r="W11" s="20" t="s">
        <v>61</v>
      </c>
      <c r="X11" s="21" t="s">
        <v>62</v>
      </c>
      <c r="Y11" s="21" t="s">
        <v>63</v>
      </c>
      <c r="Z11" s="21" t="s">
        <v>64</v>
      </c>
      <c r="AA11" s="21" t="s">
        <v>65</v>
      </c>
      <c r="AB11" s="21" t="s">
        <v>66</v>
      </c>
      <c r="AC11" s="22" t="s">
        <v>92</v>
      </c>
      <c r="AD11" s="23" t="s">
        <v>82</v>
      </c>
      <c r="AE11" s="25" t="s">
        <v>97</v>
      </c>
    </row>
    <row r="12" spans="1:32" ht="14.25" customHeight="1" x14ac:dyDescent="0.2">
      <c r="D12" s="2" t="s">
        <v>36</v>
      </c>
      <c r="E12" t="s">
        <v>37</v>
      </c>
      <c r="F12" t="s">
        <v>38</v>
      </c>
      <c r="G12" s="2" t="s">
        <v>39</v>
      </c>
      <c r="H12" t="s">
        <v>40</v>
      </c>
      <c r="I12" t="s">
        <v>41</v>
      </c>
      <c r="J12" t="s">
        <v>42</v>
      </c>
      <c r="K12" s="13" t="s">
        <v>43</v>
      </c>
      <c r="M12" s="3" t="s">
        <v>44</v>
      </c>
      <c r="N12" t="s">
        <v>44</v>
      </c>
      <c r="O12" t="s">
        <v>45</v>
      </c>
      <c r="P12" s="3" t="s">
        <v>46</v>
      </c>
      <c r="Q12" t="s">
        <v>47</v>
      </c>
      <c r="R12" t="s">
        <v>48</v>
      </c>
      <c r="S12" t="s">
        <v>49</v>
      </c>
      <c r="T12" t="s">
        <v>50</v>
      </c>
      <c r="U12" t="s">
        <v>51</v>
      </c>
      <c r="W12" s="5" t="str">
        <f>[1]!FOPPOSITION("商品種別",W13,"0")</f>
        <v>FOPPOSITION("商品種別",W13,"0")</v>
      </c>
      <c r="X12" s="6" t="str">
        <f>[1]!FOPPOSITION("売買",X13,"0")</f>
        <v>FOPPOSITION("売買",X13,"0")</v>
      </c>
      <c r="Y12" s="6" t="str">
        <f>[1]!FOPPOSITION("数量",Y13,"0")</f>
        <v>FOPPOSITION("数量",Y13,"0")</v>
      </c>
      <c r="Z12" s="6" t="str">
        <f>[1]!FOPPOSITION("建玉番号",Z13,"0")</f>
        <v>FOPPOSITION("建玉番号",Z13,"0")</v>
      </c>
      <c r="AA12" s="6" t="str">
        <f>[1]!FOPPOSITION("建玉枝番号",AA13,"0")</f>
        <v>FOPPOSITION("建玉枝番号",AA13,"0")</v>
      </c>
      <c r="AB12" s="6" t="str">
        <f>[1]!FOPPOSITION("メモ",AB13,"0")</f>
        <v>FOPPOSITION("メモ",AB13,"0")</v>
      </c>
      <c r="AC12" s="6" t="str">
        <f>[1]!FOPPOSITION("建玉単価",AC13,"0")</f>
        <v>FOPPOSITION("建玉単価",AC13,"0")</v>
      </c>
      <c r="AD12" s="7" t="str">
        <f>[1]!FOPPOSITION("建玉日時",AD13,"0")</f>
        <v>FOPPOSITION("建玉日時",AD13,"0")</v>
      </c>
    </row>
    <row r="13" spans="1:32" x14ac:dyDescent="0.2">
      <c r="A13" t="s">
        <v>57</v>
      </c>
      <c r="B13" s="1" t="str">
        <f ca="1">IF(B4&lt;B2,"発注","-")</f>
        <v>発注</v>
      </c>
      <c r="C13" t="str">
        <f ca="1">IF(B13="発注",[1]!FNEWORDER(D13,E13,F13,G13,H13,I13,J13,K13,L13,M13,N13,O13,P13,Q13,R13,S13,T13,U13),"-")</f>
        <v>発注完了</v>
      </c>
      <c r="D13" t="s">
        <v>55</v>
      </c>
      <c r="E13">
        <f>+B1</f>
        <v>201706</v>
      </c>
      <c r="F13">
        <v>1</v>
      </c>
      <c r="G13" t="s">
        <v>53</v>
      </c>
      <c r="H13" t="s">
        <v>53</v>
      </c>
      <c r="I13">
        <v>3</v>
      </c>
      <c r="J13">
        <v>0</v>
      </c>
      <c r="K13" s="13">
        <v>0</v>
      </c>
      <c r="L13">
        <v>1</v>
      </c>
      <c r="M13" s="3">
        <v>0</v>
      </c>
      <c r="N13">
        <v>1</v>
      </c>
      <c r="P13" s="13" t="s">
        <v>120</v>
      </c>
      <c r="Q13" t="s">
        <v>111</v>
      </c>
      <c r="R13">
        <v>1</v>
      </c>
      <c r="S13" t="s">
        <v>103</v>
      </c>
      <c r="T13" t="s">
        <v>53</v>
      </c>
      <c r="U13" t="s">
        <v>53</v>
      </c>
      <c r="W13" s="5" t="s">
        <v>56</v>
      </c>
      <c r="X13" s="6" t="s">
        <v>56</v>
      </c>
      <c r="Y13" s="6" t="s">
        <v>56</v>
      </c>
      <c r="Z13" s="6" t="s">
        <v>56</v>
      </c>
      <c r="AA13" s="6" t="s">
        <v>56</v>
      </c>
      <c r="AB13" s="18" t="s">
        <v>56</v>
      </c>
      <c r="AC13" s="19" t="s">
        <v>56</v>
      </c>
      <c r="AD13" s="12" t="s">
        <v>56</v>
      </c>
      <c r="AE13" s="17" t="e">
        <f>+$K$3-AC13</f>
        <v>#VALUE!</v>
      </c>
    </row>
    <row r="14" spans="1:32" x14ac:dyDescent="0.2">
      <c r="A14" t="s">
        <v>58</v>
      </c>
      <c r="B14" s="1" t="str">
        <f ca="1">IF(B5&lt;B2,"発注","-")</f>
        <v>発注</v>
      </c>
      <c r="C14" t="str">
        <f ca="1">IF(B14="発注",[1]!FNEWORDER(D14,E14,F14,G14,H14,I14,J14,K14,L14,M14,N14,O14,P14,Q14,R14,S14,T14,U14),"-")</f>
        <v>発注完了</v>
      </c>
      <c r="D14" t="s">
        <v>54</v>
      </c>
      <c r="E14">
        <f>+B1</f>
        <v>201706</v>
      </c>
      <c r="F14">
        <v>2</v>
      </c>
      <c r="G14" t="s">
        <v>67</v>
      </c>
      <c r="H14" t="s">
        <v>52</v>
      </c>
      <c r="I14">
        <v>1</v>
      </c>
      <c r="J14">
        <v>1</v>
      </c>
      <c r="K14" s="13">
        <f>+I3+B6</f>
        <v>19800</v>
      </c>
      <c r="L14">
        <v>1</v>
      </c>
      <c r="M14" s="3">
        <v>0</v>
      </c>
      <c r="N14">
        <v>1</v>
      </c>
      <c r="P14" s="13" t="s">
        <v>120</v>
      </c>
      <c r="Q14" t="s">
        <v>112</v>
      </c>
      <c r="R14">
        <v>1</v>
      </c>
      <c r="S14" t="s">
        <v>104</v>
      </c>
      <c r="T14" t="s">
        <v>52</v>
      </c>
      <c r="U14" t="s">
        <v>52</v>
      </c>
      <c r="W14" s="5"/>
      <c r="X14" s="6"/>
      <c r="Y14" s="6"/>
      <c r="Z14" s="6"/>
      <c r="AA14" s="6"/>
      <c r="AB14" s="6"/>
      <c r="AC14" s="19"/>
      <c r="AD14" s="12"/>
      <c r="AE14" s="17">
        <f t="shared" ref="AE14:AE15" si="0">+$K$3-AC14</f>
        <v>19750</v>
      </c>
    </row>
    <row r="15" spans="1:32" x14ac:dyDescent="0.2">
      <c r="W15" s="5"/>
      <c r="X15" s="6"/>
      <c r="Y15" s="6"/>
      <c r="Z15" s="6"/>
      <c r="AA15" s="6"/>
      <c r="AB15" s="6"/>
      <c r="AC15" s="19"/>
      <c r="AD15" s="12"/>
      <c r="AE15" s="17">
        <f t="shared" si="0"/>
        <v>19750</v>
      </c>
    </row>
    <row r="16" spans="1:32" x14ac:dyDescent="0.2">
      <c r="B16" s="1"/>
      <c r="K16" s="13"/>
      <c r="M16" s="3"/>
      <c r="P16" s="3"/>
      <c r="W16" s="5"/>
      <c r="X16" s="6"/>
      <c r="Y16" s="6"/>
      <c r="Z16" s="6"/>
      <c r="AA16" s="6"/>
      <c r="AB16" s="6"/>
      <c r="AC16" s="6"/>
      <c r="AD16" s="7"/>
      <c r="AE16" s="17">
        <f t="shared" ref="AE16:AE18" si="1">+$K$3-AC16</f>
        <v>19750</v>
      </c>
    </row>
    <row r="17" spans="1:37" x14ac:dyDescent="0.2">
      <c r="B17" s="1"/>
      <c r="K17" s="13"/>
      <c r="M17" s="3"/>
      <c r="P17" s="3"/>
      <c r="W17" s="5"/>
      <c r="X17" s="6"/>
      <c r="Y17" s="6"/>
      <c r="Z17" s="6"/>
      <c r="AA17" s="6"/>
      <c r="AB17" s="6"/>
      <c r="AC17" s="6"/>
      <c r="AD17" s="7"/>
      <c r="AE17" s="17">
        <f t="shared" si="1"/>
        <v>19750</v>
      </c>
    </row>
    <row r="18" spans="1:37" ht="13.8" thickBot="1" x14ac:dyDescent="0.25">
      <c r="W18" s="8"/>
      <c r="X18" s="9"/>
      <c r="Y18" s="9"/>
      <c r="Z18" s="9"/>
      <c r="AA18" s="9"/>
      <c r="AB18" s="9"/>
      <c r="AC18" s="9"/>
      <c r="AD18" s="10"/>
      <c r="AE18" s="17">
        <f t="shared" si="1"/>
        <v>19750</v>
      </c>
    </row>
    <row r="22" spans="1:37" x14ac:dyDescent="0.2">
      <c r="V22" t="str">
        <f>[1]!FOPORDQUERY("1","2","メモ",V23)</f>
        <v>FOPORDQUERY("1","2","メモ",V23)</v>
      </c>
      <c r="W22" t="str">
        <f>[1]!FOPORDQUERY("1","2","注文番号",W23)</f>
        <v>FOPORDQUERY("1","2","注文番号",W23)</v>
      </c>
      <c r="X22" t="str">
        <f>[1]!FOPORDQUERY("1","2","銘柄コード",X23)</f>
        <v>FOPORDQUERY("1","2","銘柄コード",X23)</v>
      </c>
      <c r="Y22" t="str">
        <f>[1]!FOPORDQUERY("1","2","銘柄名",Y23)</f>
        <v>FOPORDQUERY("1","2","銘柄名",Y23)</v>
      </c>
      <c r="Z22" t="str">
        <f>[1]!FOPORDQUERY("1","2","商品種別",Z23)</f>
        <v>FOPORDQUERY("1","2","商品種別",Z23)</v>
      </c>
      <c r="AA22" t="str">
        <f>[1]!FOPORDQUERY("1","2","売買",AA23)</f>
        <v>FOPORDQUERY("1","2","売買",AA23)</v>
      </c>
      <c r="AB22" t="str">
        <f>[1]!FOPORDQUERY("1","2","取引種別",AB23)</f>
        <v>FOPORDQUERY("1","2","取引種別",AB23)</v>
      </c>
      <c r="AC22" t="str">
        <f>[1]!FOPORDQUERY("1","2","執行条件",AC23)</f>
        <v>FOPORDQUERY("1","2","執行条件",AC23)</v>
      </c>
      <c r="AD22" t="str">
        <f>[1]!FOPORDQUERY("1","2","注文単価",AD23)</f>
        <v>FOPORDQUERY("1","2","注文単価",AD23)</v>
      </c>
      <c r="AE22" t="str">
        <f>[1]!FOPORDQUERY("1","2","注文数量",AE23)</f>
        <v>FOPORDQUERY("1","2","注文数量",AE23)</v>
      </c>
      <c r="AF22" t="str">
        <f>[1]!FOPORDQUERY("1","2","約定数量",AF23)</f>
        <v>FOPORDQUERY("1","2","約定数量",AF23)</v>
      </c>
      <c r="AG22" t="str">
        <f>[1]!FOPORDQUERY("1","2","受付日時",AG23)</f>
        <v>FOPORDQUERY("1","2","受付日時",AG23)</v>
      </c>
      <c r="AH22" t="str">
        <f>[1]!FOPORDQUERY("1","2","訂正・取消可能フラグ",AH23)</f>
        <v>FOPORDQUERY("1","2","訂正・取消可能フラグ",AH23)</v>
      </c>
      <c r="AI22" t="str">
        <f>[1]!FOPORDQUERY("1","2","訂正可能フラグ",AI23)</f>
        <v>FOPORDQUERY("1","2","訂正可能フラグ",AI23)</v>
      </c>
      <c r="AJ22" t="str">
        <f>[1]!FOPORDQUERY("1","2","取消可能フラグ",AJ23)</f>
        <v>FOPORDQUERY("1","2","取消可能フラグ",AJ23)</v>
      </c>
    </row>
    <row r="23" spans="1:37" x14ac:dyDescent="0.2">
      <c r="V23" t="s">
        <v>56</v>
      </c>
      <c r="W23" t="s">
        <v>56</v>
      </c>
      <c r="X23" t="s">
        <v>56</v>
      </c>
      <c r="Y23" t="s">
        <v>56</v>
      </c>
      <c r="Z23" t="s">
        <v>56</v>
      </c>
      <c r="AA23" t="s">
        <v>56</v>
      </c>
      <c r="AB23" t="s">
        <v>56</v>
      </c>
      <c r="AC23" t="s">
        <v>56</v>
      </c>
      <c r="AD23" t="s">
        <v>56</v>
      </c>
      <c r="AE23" t="s">
        <v>56</v>
      </c>
      <c r="AF23" t="s">
        <v>56</v>
      </c>
      <c r="AG23" s="11" t="s">
        <v>56</v>
      </c>
      <c r="AH23" t="s">
        <v>56</v>
      </c>
      <c r="AI23" t="s">
        <v>56</v>
      </c>
      <c r="AJ23" t="s">
        <v>56</v>
      </c>
      <c r="AK23" t="s">
        <v>96</v>
      </c>
    </row>
    <row r="24" spans="1:37" x14ac:dyDescent="0.2">
      <c r="AG24" s="11"/>
      <c r="AK24" t="s">
        <v>96</v>
      </c>
    </row>
    <row r="25" spans="1:37" x14ac:dyDescent="0.2">
      <c r="D25" t="s">
        <v>3</v>
      </c>
      <c r="E25" t="s">
        <v>4</v>
      </c>
      <c r="F25" t="s">
        <v>5</v>
      </c>
      <c r="G25" t="s">
        <v>6</v>
      </c>
      <c r="H25" s="3" t="s">
        <v>7</v>
      </c>
      <c r="I25" t="s">
        <v>8</v>
      </c>
      <c r="J25" t="s">
        <v>9</v>
      </c>
      <c r="K25" s="3" t="s">
        <v>10</v>
      </c>
      <c r="L25" t="s">
        <v>11</v>
      </c>
      <c r="M25" t="s">
        <v>12</v>
      </c>
      <c r="N25" t="s">
        <v>13</v>
      </c>
      <c r="AG25" s="11"/>
    </row>
    <row r="26" spans="1:37" x14ac:dyDescent="0.2">
      <c r="D26" t="s">
        <v>71</v>
      </c>
      <c r="E26" t="s">
        <v>24</v>
      </c>
      <c r="F26" t="s">
        <v>25</v>
      </c>
      <c r="G26" t="s">
        <v>26</v>
      </c>
      <c r="H26" s="3" t="s">
        <v>27</v>
      </c>
      <c r="I26" t="s">
        <v>28</v>
      </c>
      <c r="J26" t="s">
        <v>29</v>
      </c>
      <c r="K26" s="3" t="s">
        <v>30</v>
      </c>
      <c r="L26" t="s">
        <v>31</v>
      </c>
      <c r="M26" t="s">
        <v>72</v>
      </c>
      <c r="N26" t="s">
        <v>73</v>
      </c>
    </row>
    <row r="27" spans="1:37" x14ac:dyDescent="0.2">
      <c r="D27" t="s">
        <v>74</v>
      </c>
      <c r="E27" t="s">
        <v>74</v>
      </c>
      <c r="F27" t="s">
        <v>74</v>
      </c>
      <c r="G27" t="s">
        <v>75</v>
      </c>
      <c r="H27" s="3" t="s">
        <v>75</v>
      </c>
      <c r="I27" t="s">
        <v>75</v>
      </c>
      <c r="J27" t="s">
        <v>75</v>
      </c>
      <c r="K27" s="3" t="s">
        <v>74</v>
      </c>
      <c r="L27" t="s">
        <v>74</v>
      </c>
      <c r="M27" t="s">
        <v>74</v>
      </c>
      <c r="N27" t="s">
        <v>74</v>
      </c>
    </row>
    <row r="28" spans="1:37" x14ac:dyDescent="0.2">
      <c r="D28" t="s">
        <v>76</v>
      </c>
      <c r="E28" t="s">
        <v>77</v>
      </c>
      <c r="F28" t="s">
        <v>78</v>
      </c>
      <c r="G28" t="s">
        <v>79</v>
      </c>
      <c r="H28" s="3" t="s">
        <v>44</v>
      </c>
      <c r="I28" t="s">
        <v>44</v>
      </c>
      <c r="J28" t="s">
        <v>45</v>
      </c>
      <c r="K28" s="3" t="s">
        <v>46</v>
      </c>
      <c r="L28" t="s">
        <v>47</v>
      </c>
      <c r="M28" t="s">
        <v>80</v>
      </c>
      <c r="N28" t="s">
        <v>81</v>
      </c>
    </row>
    <row r="29" spans="1:37" x14ac:dyDescent="0.2">
      <c r="A29" t="s">
        <v>70</v>
      </c>
      <c r="B29" t="e">
        <f ca="1">IF(OR(AE8="発注OK",AE7="発注OK"),"発注","-")</f>
        <v>#N/A</v>
      </c>
      <c r="C29" t="e">
        <f ca="1">IF(B29="発注",[1]!freplaceorder(D29,E29,F29,G29,H29,I29,J29,K29,L29,M29,N29))</f>
        <v>#N/A</v>
      </c>
      <c r="D29" t="e">
        <f>VLOOKUP(S14,V23:W33,2,FALSE)</f>
        <v>#N/A</v>
      </c>
      <c r="E29">
        <v>0</v>
      </c>
      <c r="F29">
        <v>0</v>
      </c>
      <c r="G29">
        <v>1</v>
      </c>
      <c r="H29" s="3">
        <v>0</v>
      </c>
      <c r="I29">
        <v>1</v>
      </c>
      <c r="K29" s="13" t="s">
        <v>120</v>
      </c>
      <c r="L29" t="s">
        <v>113</v>
      </c>
      <c r="W29" t="s">
        <v>96</v>
      </c>
    </row>
    <row r="32" spans="1:37" ht="18.75" customHeight="1" x14ac:dyDescent="0.2"/>
    <row r="43" spans="28:28" x14ac:dyDescent="0.2">
      <c r="AB43" s="17"/>
    </row>
  </sheetData>
  <mergeCells count="1">
    <mergeCell ref="W10:AD10"/>
  </mergeCells>
  <phoneticPr fontId="3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3"/>
  <sheetViews>
    <sheetView tabSelected="1" zoomScale="55" zoomScaleNormal="55" workbookViewId="0">
      <selection activeCell="K29" sqref="K29"/>
    </sheetView>
  </sheetViews>
  <sheetFormatPr defaultRowHeight="13.2" x14ac:dyDescent="0.2"/>
  <cols>
    <col min="1" max="2" width="16.109375" bestFit="1" customWidth="1"/>
    <col min="3" max="3" width="10" bestFit="1" customWidth="1"/>
    <col min="19" max="19" width="17.6640625" customWidth="1"/>
    <col min="28" max="28" width="10.88671875" customWidth="1"/>
    <col min="29" max="29" width="16.109375" customWidth="1"/>
    <col min="30" max="30" width="16.109375" bestFit="1" customWidth="1"/>
    <col min="31" max="31" width="16.77734375" customWidth="1"/>
    <col min="32" max="32" width="18.33203125" customWidth="1"/>
    <col min="33" max="33" width="15.77734375" customWidth="1"/>
  </cols>
  <sheetData>
    <row r="1" spans="1:32" x14ac:dyDescent="0.2">
      <c r="A1" t="s">
        <v>107</v>
      </c>
      <c r="B1" s="26">
        <v>201706</v>
      </c>
    </row>
    <row r="2" spans="1:32" x14ac:dyDescent="0.2">
      <c r="A2" t="s">
        <v>90</v>
      </c>
      <c r="B2" s="11">
        <f ca="1">NOW()</f>
        <v>42880.411484374999</v>
      </c>
      <c r="E2" t="s">
        <v>85</v>
      </c>
      <c r="I2" t="s">
        <v>94</v>
      </c>
      <c r="J2" t="s">
        <v>95</v>
      </c>
      <c r="K2" t="s">
        <v>93</v>
      </c>
    </row>
    <row r="3" spans="1:32" x14ac:dyDescent="0.2">
      <c r="A3" t="s">
        <v>88</v>
      </c>
      <c r="E3" t="str">
        <f>[1]!FQUOTE("N225mini",B1,"銘柄コード")</f>
        <v>162060019</v>
      </c>
      <c r="F3" t="str">
        <f>[1]!FQUOTE("N225mini",B1,"銘柄名")</f>
        <v>N225ミニ17/06</v>
      </c>
      <c r="G3" t="str">
        <f>[1]!FQUOTE("N225mini",B1,"限月")</f>
        <v>201706</v>
      </c>
      <c r="H3" t="str">
        <f>[1]!FQUOTE("N225mini",B1,"現在値時刻")</f>
        <v>09:52:28</v>
      </c>
      <c r="I3">
        <f>[1]!FQUOTE("N225mini",B1,"売気配値")</f>
        <v>19750</v>
      </c>
      <c r="J3">
        <f>[1]!FQUOTE("N225mini",B1,"買気配値")</f>
        <v>19745</v>
      </c>
      <c r="K3">
        <f>[1]!FQUOTE("N225mini",B1,"現在値")</f>
        <v>19750</v>
      </c>
      <c r="AE3" s="11">
        <f ca="1">NOW()</f>
        <v>42880.411484374999</v>
      </c>
      <c r="AF3" s="11" t="e">
        <f>TIMEVALUE("0:00:10")+AD13</f>
        <v>#VALUE!</v>
      </c>
    </row>
    <row r="4" spans="1:32" x14ac:dyDescent="0.2">
      <c r="A4" t="s">
        <v>89</v>
      </c>
      <c r="B4" s="16">
        <v>42879.957638888889</v>
      </c>
      <c r="AF4" s="11">
        <f>C7+B4</f>
        <v>42879.964583333334</v>
      </c>
    </row>
    <row r="5" spans="1:32" x14ac:dyDescent="0.2">
      <c r="A5" t="s">
        <v>102</v>
      </c>
      <c r="B5" s="28">
        <f>+B4+TIME(0,1,0)</f>
        <v>42879.958333333336</v>
      </c>
      <c r="C5" t="s">
        <v>114</v>
      </c>
      <c r="D5" t="e">
        <f>VLOOKUP(S13,AB13:AD18,3,FALSE)</f>
        <v>#N/A</v>
      </c>
      <c r="E5" s="27" t="e">
        <f>+D5+TIME(0,0,10)</f>
        <v>#N/A</v>
      </c>
      <c r="AF5" s="11"/>
    </row>
    <row r="6" spans="1:32" x14ac:dyDescent="0.2">
      <c r="A6" t="s">
        <v>86</v>
      </c>
      <c r="B6" s="14">
        <v>50</v>
      </c>
      <c r="AE6" t="str">
        <f ca="1">IF(B2&gt;=B5,"発注OK","発注NG")</f>
        <v>発注OK</v>
      </c>
      <c r="AF6" t="s">
        <v>83</v>
      </c>
    </row>
    <row r="7" spans="1:32" x14ac:dyDescent="0.2">
      <c r="A7" t="s">
        <v>87</v>
      </c>
      <c r="B7" s="15">
        <v>10</v>
      </c>
      <c r="C7" s="24">
        <f>TIME(0,B7,0)</f>
        <v>6.9444444444444441E-3</v>
      </c>
      <c r="AE7" t="str">
        <f ca="1">IF(AE3&gt;AF4,"発注OK","発注NG")</f>
        <v>発注OK</v>
      </c>
      <c r="AF7" t="s">
        <v>70</v>
      </c>
    </row>
    <row r="8" spans="1:32" x14ac:dyDescent="0.2">
      <c r="A8" t="s">
        <v>91</v>
      </c>
      <c r="B8" s="14">
        <v>-50</v>
      </c>
      <c r="AE8" t="e">
        <f>IF(VLOOKUP(S14,AB13:AE18,4,FALSE)&lt;B8,"発注OK","-")</f>
        <v>#N/A</v>
      </c>
      <c r="AF8" t="s">
        <v>105</v>
      </c>
    </row>
    <row r="10" spans="1:32" ht="13.8" thickBot="1" x14ac:dyDescent="0.25">
      <c r="A10" t="s">
        <v>60</v>
      </c>
      <c r="B10" t="s">
        <v>59</v>
      </c>
      <c r="C10" t="s">
        <v>69</v>
      </c>
      <c r="D10" t="s">
        <v>3</v>
      </c>
      <c r="E10" t="s">
        <v>4</v>
      </c>
      <c r="F10" t="s">
        <v>5</v>
      </c>
      <c r="G10" t="s">
        <v>6</v>
      </c>
      <c r="H10" t="s">
        <v>7</v>
      </c>
      <c r="I10" t="s">
        <v>8</v>
      </c>
      <c r="J10" t="s">
        <v>9</v>
      </c>
      <c r="K10" s="13" t="s">
        <v>10</v>
      </c>
      <c r="L10" t="s">
        <v>11</v>
      </c>
      <c r="M10" s="3" t="s">
        <v>12</v>
      </c>
      <c r="N10" t="s">
        <v>13</v>
      </c>
      <c r="O10" t="s">
        <v>14</v>
      </c>
      <c r="P10" s="3" t="s">
        <v>15</v>
      </c>
      <c r="Q10" t="s">
        <v>16</v>
      </c>
      <c r="R10" t="s">
        <v>17</v>
      </c>
      <c r="S10" t="s">
        <v>18</v>
      </c>
      <c r="T10" t="s">
        <v>19</v>
      </c>
      <c r="U10" t="s">
        <v>20</v>
      </c>
      <c r="W10" s="29" t="s">
        <v>68</v>
      </c>
      <c r="X10" s="30"/>
      <c r="Y10" s="30"/>
      <c r="Z10" s="30"/>
      <c r="AA10" s="30"/>
      <c r="AB10" s="30"/>
      <c r="AC10" s="30"/>
      <c r="AD10" s="30"/>
    </row>
    <row r="11" spans="1:32" x14ac:dyDescent="0.2">
      <c r="A11" s="4"/>
      <c r="B11" s="4"/>
      <c r="D11" t="s">
        <v>0</v>
      </c>
      <c r="E11" t="s">
        <v>1</v>
      </c>
      <c r="F11" t="s">
        <v>21</v>
      </c>
      <c r="G11" t="s">
        <v>22</v>
      </c>
      <c r="H11" t="s">
        <v>23</v>
      </c>
      <c r="I11" t="s">
        <v>2</v>
      </c>
      <c r="J11" t="s">
        <v>24</v>
      </c>
      <c r="K11" s="13" t="s">
        <v>25</v>
      </c>
      <c r="L11" t="s">
        <v>26</v>
      </c>
      <c r="M11" s="3" t="s">
        <v>27</v>
      </c>
      <c r="N11" t="s">
        <v>28</v>
      </c>
      <c r="O11" t="s">
        <v>29</v>
      </c>
      <c r="P11" s="3" t="s">
        <v>30</v>
      </c>
      <c r="Q11" t="s">
        <v>31</v>
      </c>
      <c r="R11" t="s">
        <v>32</v>
      </c>
      <c r="S11" t="s">
        <v>33</v>
      </c>
      <c r="T11" t="s">
        <v>34</v>
      </c>
      <c r="U11" t="s">
        <v>35</v>
      </c>
      <c r="W11" s="20" t="s">
        <v>61</v>
      </c>
      <c r="X11" s="21" t="s">
        <v>62</v>
      </c>
      <c r="Y11" s="21" t="s">
        <v>63</v>
      </c>
      <c r="Z11" s="21" t="s">
        <v>64</v>
      </c>
      <c r="AA11" s="21" t="s">
        <v>65</v>
      </c>
      <c r="AB11" s="21" t="s">
        <v>66</v>
      </c>
      <c r="AC11" s="22" t="s">
        <v>92</v>
      </c>
      <c r="AD11" s="23" t="s">
        <v>82</v>
      </c>
      <c r="AE11" s="25" t="s">
        <v>97</v>
      </c>
    </row>
    <row r="12" spans="1:32" ht="14.25" customHeight="1" x14ac:dyDescent="0.2">
      <c r="D12" s="2" t="s">
        <v>36</v>
      </c>
      <c r="E12" t="s">
        <v>37</v>
      </c>
      <c r="F12" t="s">
        <v>38</v>
      </c>
      <c r="G12" s="2" t="s">
        <v>39</v>
      </c>
      <c r="H12" t="s">
        <v>40</v>
      </c>
      <c r="I12" t="s">
        <v>41</v>
      </c>
      <c r="J12" t="s">
        <v>42</v>
      </c>
      <c r="K12" s="13" t="s">
        <v>43</v>
      </c>
      <c r="M12" s="3" t="s">
        <v>44</v>
      </c>
      <c r="N12" t="s">
        <v>44</v>
      </c>
      <c r="O12" t="s">
        <v>45</v>
      </c>
      <c r="P12" s="3" t="s">
        <v>46</v>
      </c>
      <c r="Q12" t="s">
        <v>47</v>
      </c>
      <c r="R12" t="s">
        <v>48</v>
      </c>
      <c r="S12" t="s">
        <v>49</v>
      </c>
      <c r="T12" t="s">
        <v>50</v>
      </c>
      <c r="U12" t="s">
        <v>51</v>
      </c>
      <c r="W12" s="5" t="str">
        <f>[1]!FOPPOSITION("商品種別",W13,"0")</f>
        <v>FOPPOSITION("商品種別",W13,"0")</v>
      </c>
      <c r="X12" s="6" t="str">
        <f>[1]!FOPPOSITION("売買",X13,"0")</f>
        <v>FOPPOSITION("売買",X13,"0")</v>
      </c>
      <c r="Y12" s="6" t="str">
        <f>[1]!FOPPOSITION("数量",Y13,"0")</f>
        <v>FOPPOSITION("数量",Y13,"0")</v>
      </c>
      <c r="Z12" s="6" t="str">
        <f>[1]!FOPPOSITION("建玉番号",Z13,"0")</f>
        <v>FOPPOSITION("建玉番号",Z13,"0")</v>
      </c>
      <c r="AA12" s="6" t="str">
        <f>[1]!FOPPOSITION("建玉枝番号",AA13,"0")</f>
        <v>FOPPOSITION("建玉枝番号",AA13,"0")</v>
      </c>
      <c r="AB12" s="6" t="str">
        <f>[1]!FOPPOSITION("メモ",AB13,"0")</f>
        <v>FOPPOSITION("メモ",AB13,"0")</v>
      </c>
      <c r="AC12" s="6" t="str">
        <f>[1]!FOPPOSITION("建玉単価",AC13,"0")</f>
        <v>FOPPOSITION("建玉単価",AC13,"0")</v>
      </c>
      <c r="AD12" s="7" t="str">
        <f>[1]!FOPPOSITION("建玉日時",AD13,"0")</f>
        <v>FOPPOSITION("建玉日時",AD13,"0")</v>
      </c>
    </row>
    <row r="13" spans="1:32" x14ac:dyDescent="0.2">
      <c r="A13" t="s">
        <v>57</v>
      </c>
      <c r="B13" s="1" t="str">
        <f ca="1">IF(B4&lt;B2,"発注","-")</f>
        <v>発注</v>
      </c>
      <c r="C13" t="str">
        <f ca="1">IF(B13="発注",[1]!FNEWORDER(D13,E13,F13,G13,H13,I13,J13,K13,L13,M13,N13,O13,P13,Q13,R13,S13,T13,U13),"-")</f>
        <v>発注完了</v>
      </c>
      <c r="D13" t="s">
        <v>55</v>
      </c>
      <c r="E13">
        <f>+B1</f>
        <v>201706</v>
      </c>
      <c r="F13">
        <v>1</v>
      </c>
      <c r="G13" t="s">
        <v>53</v>
      </c>
      <c r="H13" t="s">
        <v>53</v>
      </c>
      <c r="I13">
        <v>3</v>
      </c>
      <c r="J13">
        <v>0</v>
      </c>
      <c r="K13" s="13">
        <v>0</v>
      </c>
      <c r="L13">
        <v>1</v>
      </c>
      <c r="M13" s="3">
        <v>0</v>
      </c>
      <c r="N13">
        <v>1</v>
      </c>
      <c r="P13" s="13" t="s">
        <v>120</v>
      </c>
      <c r="Q13" t="s">
        <v>119</v>
      </c>
      <c r="R13">
        <v>1</v>
      </c>
      <c r="S13" t="s">
        <v>115</v>
      </c>
      <c r="T13" t="s">
        <v>53</v>
      </c>
      <c r="U13" t="s">
        <v>53</v>
      </c>
      <c r="W13" s="5" t="s">
        <v>56</v>
      </c>
      <c r="X13" s="6" t="s">
        <v>56</v>
      </c>
      <c r="Y13" s="6" t="s">
        <v>56</v>
      </c>
      <c r="Z13" s="6" t="s">
        <v>56</v>
      </c>
      <c r="AA13" s="6" t="s">
        <v>56</v>
      </c>
      <c r="AB13" s="18" t="s">
        <v>56</v>
      </c>
      <c r="AC13" s="19" t="s">
        <v>56</v>
      </c>
      <c r="AD13" s="12" t="s">
        <v>56</v>
      </c>
      <c r="AE13" s="17" t="e">
        <f>+$K$3-AC13</f>
        <v>#VALUE!</v>
      </c>
    </row>
    <row r="14" spans="1:32" x14ac:dyDescent="0.2">
      <c r="A14" t="s">
        <v>58</v>
      </c>
      <c r="B14" s="1" t="str">
        <f ca="1">IF(B5&lt;B2,"発注","-")</f>
        <v>発注</v>
      </c>
      <c r="C14" t="str">
        <f ca="1">IF(B14="発注",[1]!FNEWORDER(D14,E14,F14,G14,H14,I14,J14,K14,L14,M14,N14,O14,P14,Q14,R14,S14,T14,U14),"-")</f>
        <v>発注完了</v>
      </c>
      <c r="D14" t="s">
        <v>54</v>
      </c>
      <c r="E14">
        <f>+B1</f>
        <v>201706</v>
      </c>
      <c r="F14">
        <v>2</v>
      </c>
      <c r="G14" t="s">
        <v>67</v>
      </c>
      <c r="H14" t="s">
        <v>52</v>
      </c>
      <c r="I14">
        <v>1</v>
      </c>
      <c r="J14">
        <v>1</v>
      </c>
      <c r="K14" s="13">
        <f>+I3+B6</f>
        <v>19800</v>
      </c>
      <c r="L14">
        <v>1</v>
      </c>
      <c r="M14" s="3">
        <v>0</v>
      </c>
      <c r="N14">
        <v>1</v>
      </c>
      <c r="P14" s="13" t="s">
        <v>120</v>
      </c>
      <c r="Q14" t="s">
        <v>117</v>
      </c>
      <c r="R14">
        <v>1</v>
      </c>
      <c r="S14" t="s">
        <v>116</v>
      </c>
      <c r="T14" t="s">
        <v>52</v>
      </c>
      <c r="U14" t="s">
        <v>52</v>
      </c>
      <c r="W14" s="5"/>
      <c r="X14" s="6"/>
      <c r="Y14" s="6"/>
      <c r="Z14" s="6"/>
      <c r="AA14" s="6"/>
      <c r="AB14" s="6"/>
      <c r="AC14" s="19"/>
      <c r="AD14" s="12"/>
      <c r="AE14" s="17">
        <f t="shared" ref="AE14:AE18" si="0">+$K$3-AC14</f>
        <v>19750</v>
      </c>
    </row>
    <row r="15" spans="1:32" x14ac:dyDescent="0.2">
      <c r="W15" s="5"/>
      <c r="X15" s="6"/>
      <c r="Y15" s="6"/>
      <c r="Z15" s="6"/>
      <c r="AA15" s="6"/>
      <c r="AB15" s="6"/>
      <c r="AC15" s="19"/>
      <c r="AD15" s="12"/>
      <c r="AE15" s="17">
        <f t="shared" si="0"/>
        <v>19750</v>
      </c>
    </row>
    <row r="16" spans="1:32" x14ac:dyDescent="0.2">
      <c r="B16" s="1"/>
      <c r="K16" s="13"/>
      <c r="M16" s="3"/>
      <c r="P16" s="3"/>
      <c r="W16" s="5"/>
      <c r="X16" s="6"/>
      <c r="Y16" s="6"/>
      <c r="Z16" s="6"/>
      <c r="AA16" s="6"/>
      <c r="AB16" s="6"/>
      <c r="AC16" s="6"/>
      <c r="AD16" s="7"/>
      <c r="AE16" s="17">
        <f t="shared" si="0"/>
        <v>19750</v>
      </c>
    </row>
    <row r="17" spans="1:37" x14ac:dyDescent="0.2">
      <c r="B17" s="1"/>
      <c r="K17" s="13"/>
      <c r="M17" s="3"/>
      <c r="P17" s="3"/>
      <c r="W17" s="5"/>
      <c r="X17" s="6"/>
      <c r="Y17" s="6"/>
      <c r="Z17" s="6"/>
      <c r="AA17" s="6"/>
      <c r="AB17" s="6"/>
      <c r="AC17" s="6"/>
      <c r="AD17" s="7"/>
      <c r="AE17" s="17">
        <f t="shared" si="0"/>
        <v>19750</v>
      </c>
    </row>
    <row r="18" spans="1:37" ht="13.8" thickBot="1" x14ac:dyDescent="0.25">
      <c r="W18" s="8"/>
      <c r="X18" s="9"/>
      <c r="Y18" s="9"/>
      <c r="Z18" s="9"/>
      <c r="AA18" s="9"/>
      <c r="AB18" s="9"/>
      <c r="AC18" s="9"/>
      <c r="AD18" s="10"/>
      <c r="AE18" s="17">
        <f t="shared" si="0"/>
        <v>19750</v>
      </c>
    </row>
    <row r="22" spans="1:37" x14ac:dyDescent="0.2">
      <c r="V22" t="str">
        <f>[1]!FOPORDQUERY("1","2","メモ",V23)</f>
        <v>FOPORDQUERY("1","2","メモ",V23)</v>
      </c>
      <c r="W22" t="str">
        <f>[1]!FOPORDQUERY("1","2","注文番号",W23)</f>
        <v>FOPORDQUERY("1","2","注文番号",W23)</v>
      </c>
      <c r="X22" t="str">
        <f>[1]!FOPORDQUERY("1","2","銘柄コード",X23)</f>
        <v>FOPORDQUERY("1","2","銘柄コード",X23)</v>
      </c>
      <c r="Y22" t="str">
        <f>[1]!FOPORDQUERY("1","2","銘柄名",Y23)</f>
        <v>FOPORDQUERY("1","2","銘柄名",Y23)</v>
      </c>
      <c r="Z22" t="str">
        <f>[1]!FOPORDQUERY("1","2","商品種別",Z23)</f>
        <v>FOPORDQUERY("1","2","商品種別",Z23)</v>
      </c>
      <c r="AA22" t="str">
        <f>[1]!FOPORDQUERY("1","2","売買",AA23)</f>
        <v>FOPORDQUERY("1","2","売買",AA23)</v>
      </c>
      <c r="AB22" t="str">
        <f>[1]!FOPORDQUERY("1","2","取引種別",AB23)</f>
        <v>FOPORDQUERY("1","2","取引種別",AB23)</v>
      </c>
      <c r="AC22" t="str">
        <f>[1]!FOPORDQUERY("1","2","執行条件",AC23)</f>
        <v>FOPORDQUERY("1","2","執行条件",AC23)</v>
      </c>
      <c r="AD22" t="str">
        <f>[1]!FOPORDQUERY("1","2","注文単価",AD23)</f>
        <v>FOPORDQUERY("1","2","注文単価",AD23)</v>
      </c>
      <c r="AE22" t="str">
        <f>[1]!FOPORDQUERY("1","2","注文数量",AE23)</f>
        <v>FOPORDQUERY("1","2","注文数量",AE23)</v>
      </c>
      <c r="AF22" t="str">
        <f>[1]!FOPORDQUERY("1","2","約定数量",AF23)</f>
        <v>FOPORDQUERY("1","2","約定数量",AF23)</v>
      </c>
      <c r="AG22" t="str">
        <f>[1]!FOPORDQUERY("1","2","受付日時",AG23)</f>
        <v>FOPORDQUERY("1","2","受付日時",AG23)</v>
      </c>
      <c r="AH22" t="str">
        <f>[1]!FOPORDQUERY("1","2","訂正・取消可能フラグ",AH23)</f>
        <v>FOPORDQUERY("1","2","訂正・取消可能フラグ",AH23)</v>
      </c>
      <c r="AI22" t="str">
        <f>[1]!FOPORDQUERY("1","2","訂正可能フラグ",AI23)</f>
        <v>FOPORDQUERY("1","2","訂正可能フラグ",AI23)</v>
      </c>
      <c r="AJ22" t="str">
        <f>[1]!FOPORDQUERY("1","2","取消可能フラグ",AJ23)</f>
        <v>FOPORDQUERY("1","2","取消可能フラグ",AJ23)</v>
      </c>
    </row>
    <row r="23" spans="1:37" x14ac:dyDescent="0.2">
      <c r="V23" t="s">
        <v>56</v>
      </c>
      <c r="W23" t="s">
        <v>56</v>
      </c>
      <c r="X23" t="s">
        <v>56</v>
      </c>
      <c r="Y23" t="s">
        <v>56</v>
      </c>
      <c r="Z23" t="s">
        <v>56</v>
      </c>
      <c r="AA23" t="s">
        <v>56</v>
      </c>
      <c r="AB23" t="s">
        <v>56</v>
      </c>
      <c r="AC23" t="s">
        <v>56</v>
      </c>
      <c r="AD23" t="s">
        <v>56</v>
      </c>
      <c r="AE23" t="s">
        <v>56</v>
      </c>
      <c r="AF23" t="s">
        <v>56</v>
      </c>
      <c r="AG23" s="11" t="s">
        <v>56</v>
      </c>
      <c r="AH23" t="s">
        <v>56</v>
      </c>
      <c r="AI23" t="s">
        <v>56</v>
      </c>
      <c r="AJ23" t="s">
        <v>56</v>
      </c>
      <c r="AK23" t="s">
        <v>96</v>
      </c>
    </row>
    <row r="24" spans="1:37" x14ac:dyDescent="0.2">
      <c r="AG24" s="11"/>
      <c r="AK24" t="s">
        <v>96</v>
      </c>
    </row>
    <row r="25" spans="1:37" x14ac:dyDescent="0.2">
      <c r="D25" t="s">
        <v>3</v>
      </c>
      <c r="E25" t="s">
        <v>4</v>
      </c>
      <c r="F25" t="s">
        <v>5</v>
      </c>
      <c r="G25" t="s">
        <v>6</v>
      </c>
      <c r="H25" s="3" t="s">
        <v>7</v>
      </c>
      <c r="I25" t="s">
        <v>8</v>
      </c>
      <c r="J25" t="s">
        <v>9</v>
      </c>
      <c r="K25" s="3" t="s">
        <v>10</v>
      </c>
      <c r="L25" t="s">
        <v>11</v>
      </c>
      <c r="M25" t="s">
        <v>12</v>
      </c>
      <c r="N25" t="s">
        <v>13</v>
      </c>
      <c r="AG25" s="11"/>
    </row>
    <row r="26" spans="1:37" x14ac:dyDescent="0.2">
      <c r="D26" t="s">
        <v>71</v>
      </c>
      <c r="E26" t="s">
        <v>24</v>
      </c>
      <c r="F26" t="s">
        <v>25</v>
      </c>
      <c r="G26" t="s">
        <v>26</v>
      </c>
      <c r="H26" s="3" t="s">
        <v>27</v>
      </c>
      <c r="I26" t="s">
        <v>28</v>
      </c>
      <c r="J26" t="s">
        <v>29</v>
      </c>
      <c r="K26" s="3" t="s">
        <v>30</v>
      </c>
      <c r="L26" t="s">
        <v>31</v>
      </c>
      <c r="M26" t="s">
        <v>72</v>
      </c>
      <c r="N26" t="s">
        <v>73</v>
      </c>
    </row>
    <row r="27" spans="1:37" x14ac:dyDescent="0.2">
      <c r="D27" t="s">
        <v>74</v>
      </c>
      <c r="E27" t="s">
        <v>74</v>
      </c>
      <c r="F27" t="s">
        <v>74</v>
      </c>
      <c r="G27" t="s">
        <v>75</v>
      </c>
      <c r="H27" s="3" t="s">
        <v>75</v>
      </c>
      <c r="I27" t="s">
        <v>75</v>
      </c>
      <c r="J27" t="s">
        <v>75</v>
      </c>
      <c r="K27" s="3" t="s">
        <v>74</v>
      </c>
      <c r="L27" t="s">
        <v>74</v>
      </c>
      <c r="M27" t="s">
        <v>74</v>
      </c>
      <c r="N27" t="s">
        <v>74</v>
      </c>
    </row>
    <row r="28" spans="1:37" x14ac:dyDescent="0.2">
      <c r="D28" t="s">
        <v>76</v>
      </c>
      <c r="E28" t="s">
        <v>77</v>
      </c>
      <c r="F28" t="s">
        <v>78</v>
      </c>
      <c r="G28" t="s">
        <v>79</v>
      </c>
      <c r="H28" s="3" t="s">
        <v>44</v>
      </c>
      <c r="I28" t="s">
        <v>44</v>
      </c>
      <c r="J28" t="s">
        <v>45</v>
      </c>
      <c r="K28" s="3" t="s">
        <v>46</v>
      </c>
      <c r="L28" t="s">
        <v>47</v>
      </c>
      <c r="M28" t="s">
        <v>80</v>
      </c>
      <c r="N28" t="s">
        <v>81</v>
      </c>
    </row>
    <row r="29" spans="1:37" x14ac:dyDescent="0.2">
      <c r="A29" t="s">
        <v>70</v>
      </c>
      <c r="B29" t="e">
        <f ca="1">IF(OR(AE8="発注OK",AE7="発注OK"),"発注","-")</f>
        <v>#N/A</v>
      </c>
      <c r="C29" t="e">
        <f ca="1">IF(B29="発注",[1]!freplaceorder(D29,E29,F29,G29,H29,I29,J29,K29,L29,M29,N29))</f>
        <v>#N/A</v>
      </c>
      <c r="D29" t="e">
        <f>VLOOKUP(S14,V23:W33,2,FALSE)</f>
        <v>#N/A</v>
      </c>
      <c r="E29">
        <v>0</v>
      </c>
      <c r="F29">
        <v>0</v>
      </c>
      <c r="G29">
        <v>1</v>
      </c>
      <c r="H29" s="3">
        <v>0</v>
      </c>
      <c r="I29">
        <v>1</v>
      </c>
      <c r="K29" s="13" t="s">
        <v>120</v>
      </c>
      <c r="L29" t="s">
        <v>118</v>
      </c>
      <c r="W29" t="s">
        <v>96</v>
      </c>
    </row>
    <row r="32" spans="1:37" ht="18.75" customHeight="1" x14ac:dyDescent="0.2"/>
    <row r="43" spans="28:28" x14ac:dyDescent="0.2">
      <c r="AB43" s="17"/>
    </row>
  </sheetData>
  <mergeCells count="1">
    <mergeCell ref="W10:AD10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買い1</vt:lpstr>
      <vt:lpstr>買い2</vt:lpstr>
      <vt:lpstr>買い3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2017-05-25T00:52:36Z</dcterms:modified>
</cp:coreProperties>
</file>