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C5" i="1" l="1"/>
  <c r="AF11" i="1" l="1"/>
  <c r="AE11" i="1"/>
  <c r="AC10" i="1"/>
  <c r="K18" i="1"/>
  <c r="AF15" i="1" l="1"/>
  <c r="AE15" i="1" s="1"/>
  <c r="B1" i="1"/>
  <c r="B11" i="1" s="1"/>
  <c r="AF12" i="1"/>
  <c r="AE14" i="1" s="1"/>
  <c r="B27" i="1" l="1"/>
  <c r="AE13" i="1" l="1"/>
  <c r="D27" i="1"/>
  <c r="AD20" i="1"/>
  <c r="G18" i="1"/>
  <c r="AG20" i="1"/>
  <c r="AF20" i="1"/>
  <c r="H18" i="1"/>
  <c r="F18" i="1"/>
  <c r="AA20" i="1"/>
  <c r="X10" i="1"/>
  <c r="X20" i="1"/>
  <c r="AB10" i="1"/>
  <c r="AD10" i="1"/>
  <c r="AJ20" i="1"/>
  <c r="AE20" i="1"/>
  <c r="Y20" i="1"/>
  <c r="Z20" i="1"/>
  <c r="J18" i="1"/>
  <c r="E18" i="1"/>
  <c r="AH20" i="1"/>
  <c r="AB20" i="1"/>
  <c r="AI20" i="1"/>
  <c r="W10" i="1"/>
  <c r="AC20" i="1"/>
  <c r="W20" i="1"/>
  <c r="I18" i="1"/>
  <c r="K12" i="1" l="1"/>
  <c r="AL11" i="1"/>
  <c r="AK11" i="1"/>
  <c r="B12" i="1" s="1"/>
  <c r="C27" i="1"/>
  <c r="AA10" i="1"/>
  <c r="Y10" i="1"/>
  <c r="C11" i="1"/>
  <c r="Z10" i="1"/>
  <c r="L12" i="1" l="1"/>
  <c r="C12" i="1"/>
</calcChain>
</file>

<file path=xl/sharedStrings.xml><?xml version="1.0" encoding="utf-8"?>
<sst xmlns="http://schemas.openxmlformats.org/spreadsheetml/2006/main" count="169" uniqueCount="106">
  <si>
    <t>先物コード</t>
  </si>
  <si>
    <t>限月</t>
  </si>
  <si>
    <t>売買区分</t>
  </si>
  <si>
    <t>第1引数</t>
  </si>
  <si>
    <t>第2引数</t>
  </si>
  <si>
    <t>第3引数</t>
  </si>
  <si>
    <t>第4引数</t>
  </si>
  <si>
    <t>第5引数</t>
  </si>
  <si>
    <t>第6引数</t>
  </si>
  <si>
    <t>第7引数</t>
  </si>
  <si>
    <t>第8引数</t>
  </si>
  <si>
    <t>第9引数</t>
  </si>
  <si>
    <t>第10引数</t>
  </si>
  <si>
    <t>第11引数</t>
  </si>
  <si>
    <t>第12引数</t>
  </si>
  <si>
    <t>第13引数</t>
  </si>
  <si>
    <t>第14引数</t>
  </si>
  <si>
    <t>第15引数</t>
  </si>
  <si>
    <t>第16引数</t>
  </si>
  <si>
    <t>第17引数</t>
  </si>
  <si>
    <t>第18引数</t>
  </si>
  <si>
    <t>取引種類</t>
  </si>
  <si>
    <t>建玉番号or決済順序</t>
    <rPh sb="0" eb="2">
      <t>タテギョク</t>
    </rPh>
    <rPh sb="2" eb="4">
      <t>バンゴウ</t>
    </rPh>
    <rPh sb="6" eb="8">
      <t>ケッサイ</t>
    </rPh>
    <rPh sb="8" eb="10">
      <t>ジュンジョ</t>
    </rPh>
    <phoneticPr fontId="2"/>
  </si>
  <si>
    <t>建玉枝番号</t>
    <rPh sb="0" eb="2">
      <t>タテギョク</t>
    </rPh>
    <rPh sb="2" eb="3">
      <t>エダ</t>
    </rPh>
    <rPh sb="3" eb="5">
      <t>バンゴウ</t>
    </rPh>
    <phoneticPr fontId="2"/>
  </si>
  <si>
    <t>執行条件</t>
  </si>
  <si>
    <t>単価</t>
  </si>
  <si>
    <t>数量</t>
  </si>
  <si>
    <t>確認</t>
  </si>
  <si>
    <t>注文完了</t>
  </si>
  <si>
    <t>注文画面表示</t>
  </si>
  <si>
    <t>パスワード</t>
  </si>
  <si>
    <t>発注ID</t>
    <rPh sb="0" eb="2">
      <t>ハッチュウ</t>
    </rPh>
    <phoneticPr fontId="2"/>
  </si>
  <si>
    <t>有効期間区分or日付</t>
    <rPh sb="0" eb="6">
      <t>ユウコウキカンクブン</t>
    </rPh>
    <rPh sb="8" eb="10">
      <t>ニチヅケ</t>
    </rPh>
    <phoneticPr fontId="2"/>
  </si>
  <si>
    <t>メモ</t>
  </si>
  <si>
    <t>発注条件
（逆指値指定時）</t>
    <rPh sb="0" eb="2">
      <t>ハッチュウ</t>
    </rPh>
    <rPh sb="2" eb="4">
      <t>ジョウケン</t>
    </rPh>
    <rPh sb="6" eb="7">
      <t>ギャク</t>
    </rPh>
    <rPh sb="7" eb="9">
      <t>サシネ</t>
    </rPh>
    <rPh sb="9" eb="11">
      <t>シテイ</t>
    </rPh>
    <rPh sb="11" eb="12">
      <t>ジ</t>
    </rPh>
    <phoneticPr fontId="2"/>
  </si>
  <si>
    <t>発注単価
（逆指値指定時）</t>
    <rPh sb="0" eb="2">
      <t>ハッチュウ</t>
    </rPh>
    <rPh sb="2" eb="4">
      <t>タンカ</t>
    </rPh>
    <phoneticPr fontId="2"/>
  </si>
  <si>
    <t>N225：N225先物、N225mini：N225ミニ、TOPIX：TPX先物、
TOPIXmini：ミニTPX、Core30：Core30、
REIT：REIT先物、DOW：ダウ先物、VI：VI先物、JPX400：JPX400先物、MOTHERS：マザーズ先物</t>
    <rPh sb="114" eb="115">
      <t>サキ</t>
    </rPh>
    <rPh sb="115" eb="116">
      <t>モノ</t>
    </rPh>
    <rPh sb="129" eb="130">
      <t>サキ</t>
    </rPh>
    <rPh sb="130" eb="131">
      <t>モノ</t>
    </rPh>
    <phoneticPr fontId="2"/>
  </si>
  <si>
    <t>YYYYMM形式。0：期近 1：期先</t>
  </si>
  <si>
    <t>1：新規、2：決済</t>
  </si>
  <si>
    <r>
      <t xml:space="preserve">A：評価益（1枚）順、B：評価損（1枚）順、C：建日時古順、D：建日時新順。ブランクはなし。
</t>
    </r>
    <r>
      <rPr>
        <sz val="9"/>
        <color indexed="10"/>
        <rFont val="ＭＳ Ｐゴシック"/>
        <family val="3"/>
        <charset val="128"/>
      </rPr>
      <t>※2013年8月18日より建玉番号を英字交じりの形式に変更</t>
    </r>
    <rPh sb="2" eb="4">
      <t>ヒョウカ</t>
    </rPh>
    <rPh sb="4" eb="5">
      <t>エキ</t>
    </rPh>
    <rPh sb="7" eb="8">
      <t>マイ</t>
    </rPh>
    <rPh sb="9" eb="10">
      <t>ジュン</t>
    </rPh>
    <rPh sb="13" eb="15">
      <t>ヒョウカ</t>
    </rPh>
    <rPh sb="15" eb="16">
      <t>ソン</t>
    </rPh>
    <rPh sb="24" eb="25">
      <t>タ</t>
    </rPh>
    <rPh sb="25" eb="27">
      <t>ニチジ</t>
    </rPh>
    <rPh sb="27" eb="28">
      <t>フル</t>
    </rPh>
    <rPh sb="28" eb="29">
      <t>ジュン</t>
    </rPh>
    <rPh sb="32" eb="33">
      <t>タ</t>
    </rPh>
    <rPh sb="33" eb="35">
      <t>ニチジ</t>
    </rPh>
    <rPh sb="35" eb="36">
      <t>シン</t>
    </rPh>
    <rPh sb="36" eb="37">
      <t>ジュン</t>
    </rPh>
    <rPh sb="52" eb="53">
      <t>ネン</t>
    </rPh>
    <rPh sb="54" eb="55">
      <t>ガツ</t>
    </rPh>
    <rPh sb="57" eb="58">
      <t>ニチ</t>
    </rPh>
    <rPh sb="60" eb="62">
      <t>タテギョク</t>
    </rPh>
    <rPh sb="62" eb="64">
      <t>バンゴウ</t>
    </rPh>
    <rPh sb="65" eb="67">
      <t>エイジ</t>
    </rPh>
    <rPh sb="67" eb="68">
      <t>マ</t>
    </rPh>
    <rPh sb="71" eb="73">
      <t>ケイシキ</t>
    </rPh>
    <rPh sb="74" eb="76">
      <t>ヘンコウ</t>
    </rPh>
    <phoneticPr fontId="2"/>
  </si>
  <si>
    <t>建玉番号指定の場合に必須</t>
    <rPh sb="4" eb="6">
      <t>シテイ</t>
    </rPh>
    <rPh sb="7" eb="9">
      <t>バアイ</t>
    </rPh>
    <rPh sb="10" eb="12">
      <t>ヒッス</t>
    </rPh>
    <phoneticPr fontId="2"/>
  </si>
  <si>
    <t>1：売、3：買</t>
  </si>
  <si>
    <r>
      <t xml:space="preserve">0:最大指値、1:指値、5:引成、6:不出来引成、8:逆指値、10:指値(FOK)、11:指値(FAK)、12:成行(FOK)、13:成行(FAK)、14:最良指値、15:最良指値(FOK)、16:最良指値(FAK)、19:引指
</t>
    </r>
    <r>
      <rPr>
        <sz val="9"/>
        <color indexed="10"/>
        <rFont val="ＭＳ Ｐゴシック"/>
        <family val="3"/>
        <charset val="128"/>
      </rPr>
      <t>※コードの割り振りは、J-GATE対応前に合わせている
※マスタの値とは違うため、受取時にコンバート</t>
    </r>
    <rPh sb="22" eb="24">
      <t>ヒケナリ</t>
    </rPh>
    <rPh sb="112" eb="113">
      <t>ヒ</t>
    </rPh>
    <rPh sb="113" eb="114">
      <t>サ</t>
    </rPh>
    <rPh sb="120" eb="121">
      <t>ワ</t>
    </rPh>
    <rPh sb="122" eb="123">
      <t>フ</t>
    </rPh>
    <rPh sb="132" eb="134">
      <t>タイオウ</t>
    </rPh>
    <rPh sb="134" eb="135">
      <t>マエ</t>
    </rPh>
    <rPh sb="136" eb="137">
      <t>ア</t>
    </rPh>
    <phoneticPr fontId="2"/>
  </si>
  <si>
    <t>成行、最大指値の場合は０を指定、逆指値の場合は発火条件価格を指定</t>
    <rPh sb="3" eb="5">
      <t>サイダイ</t>
    </rPh>
    <rPh sb="5" eb="7">
      <t>サシネ</t>
    </rPh>
    <rPh sb="16" eb="17">
      <t>ギャク</t>
    </rPh>
    <rPh sb="17" eb="19">
      <t>サシネ</t>
    </rPh>
    <rPh sb="20" eb="22">
      <t>バアイ</t>
    </rPh>
    <rPh sb="23" eb="25">
      <t>ハッカ</t>
    </rPh>
    <rPh sb="25" eb="27">
      <t>ジョウケン</t>
    </rPh>
    <rPh sb="27" eb="29">
      <t>カカク</t>
    </rPh>
    <rPh sb="30" eb="32">
      <t>シテイ</t>
    </rPh>
    <phoneticPr fontId="2"/>
  </si>
  <si>
    <t>0：表示あり、１：表示無し</t>
  </si>
  <si>
    <t>RSSバージョン２では常に表示なし</t>
    <rPh sb="11" eb="12">
      <t>ツネ</t>
    </rPh>
    <rPh sb="13" eb="15">
      <t>ヒョウジ</t>
    </rPh>
    <phoneticPr fontId="2"/>
  </si>
  <si>
    <t>先物注文取引パスワード</t>
  </si>
  <si>
    <t>重複注文防止用のユニークなコード</t>
    <rPh sb="0" eb="2">
      <t>チョウフク</t>
    </rPh>
    <rPh sb="2" eb="4">
      <t>チュウモン</t>
    </rPh>
    <rPh sb="4" eb="6">
      <t>ボウシ</t>
    </rPh>
    <rPh sb="6" eb="7">
      <t>ヨウ</t>
    </rPh>
    <phoneticPr fontId="2"/>
  </si>
  <si>
    <r>
      <t>1：当ｾｯｼｮﾝのみ(GFD)、
3：最終日まで(GTC)、
YYYYMMDD（GTDの場合のみ日付設定）</t>
    </r>
    <r>
      <rPr>
        <sz val="9"/>
        <color indexed="10"/>
        <rFont val="ＭＳ Ｐゴシック"/>
        <family val="3"/>
        <charset val="128"/>
      </rPr>
      <t xml:space="preserve">
※指定しない場合当セッションのみ</t>
    </r>
    <rPh sb="2" eb="3">
      <t>トウ</t>
    </rPh>
    <rPh sb="19" eb="22">
      <t>サイシュウビ</t>
    </rPh>
    <rPh sb="48" eb="50">
      <t>ヒヅケ</t>
    </rPh>
    <rPh sb="50" eb="52">
      <t>セッテイ</t>
    </rPh>
    <phoneticPr fontId="2"/>
  </si>
  <si>
    <r>
      <t xml:space="preserve">0-9/a-z/A-Zの範囲文字と_(ｱﾝﾀﾞｰﾊﾞｰ)のみ
</t>
    </r>
    <r>
      <rPr>
        <sz val="9"/>
        <color indexed="10"/>
        <rFont val="ＭＳ Ｐゴシック"/>
        <family val="3"/>
        <charset val="128"/>
      </rPr>
      <t>※指定しない場合登録無し
※他ツールから時間指定の訂正を付与した場合、訂正後の注文には引き継がれません</t>
    </r>
    <rPh sb="39" eb="41">
      <t>トウロク</t>
    </rPh>
    <rPh sb="41" eb="42">
      <t>ナ</t>
    </rPh>
    <phoneticPr fontId="2"/>
  </si>
  <si>
    <r>
      <t xml:space="preserve">●執行条件が逆指値の時は下記を設定。
  0:最大指値、1:指値、10:指値(FOK)、11:指値(FAK)、12:成行(FOK)、13:成行(FAK)、14：最良指値、15：最良指値（FOK）、16：最良指値（FAK）
　※指定しない場合最大指値
※逆指値以外：使用無し
</t>
    </r>
    <r>
      <rPr>
        <sz val="9"/>
        <color indexed="10"/>
        <rFont val="ＭＳ Ｐゴシック"/>
        <family val="3"/>
        <charset val="128"/>
      </rPr>
      <t>※コード割り振りは、J-GATE対応前に合わせている
※マスタの値とは違うため、受取時にコンバート</t>
    </r>
    <rPh sb="1" eb="3">
      <t>シッコウ</t>
    </rPh>
    <rPh sb="3" eb="5">
      <t>ジョウケン</t>
    </rPh>
    <rPh sb="10" eb="11">
      <t>トキ</t>
    </rPh>
    <rPh sb="12" eb="14">
      <t>カキ</t>
    </rPh>
    <rPh sb="15" eb="17">
      <t>セッテイ</t>
    </rPh>
    <rPh sb="130" eb="132">
      <t>イガイ</t>
    </rPh>
    <rPh sb="133" eb="135">
      <t>シヨウ</t>
    </rPh>
    <rPh sb="135" eb="136">
      <t>ナ</t>
    </rPh>
    <phoneticPr fontId="2"/>
  </si>
  <si>
    <t>●執行条件が逆指値の時
　指定しない場合0を自動設定
※逆指値以外：使用無し</t>
    <rPh sb="22" eb="24">
      <t>ジドウ</t>
    </rPh>
    <rPh sb="24" eb="26">
      <t>セッテイ</t>
    </rPh>
    <phoneticPr fontId="2"/>
  </si>
  <si>
    <t>""</t>
  </si>
  <si>
    <t>""</t>
    <phoneticPr fontId="3"/>
  </si>
  <si>
    <t>N225mini</t>
  </si>
  <si>
    <t>N225mini</t>
    <phoneticPr fontId="3"/>
  </si>
  <si>
    <t>***END***</t>
  </si>
  <si>
    <t>売り/買い</t>
    <rPh sb="0" eb="1">
      <t>ウ</t>
    </rPh>
    <rPh sb="3" eb="4">
      <t>カイ</t>
    </rPh>
    <phoneticPr fontId="3"/>
  </si>
  <si>
    <t>数量</t>
    <rPh sb="0" eb="2">
      <t>スウリョウ</t>
    </rPh>
    <phoneticPr fontId="3"/>
  </si>
  <si>
    <t>新規:225mini</t>
    <rPh sb="0" eb="2">
      <t>シンキ</t>
    </rPh>
    <phoneticPr fontId="3"/>
  </si>
  <si>
    <t>決済:225mini</t>
    <rPh sb="0" eb="2">
      <t>ケッサイ</t>
    </rPh>
    <phoneticPr fontId="3"/>
  </si>
  <si>
    <t>発注時間内外</t>
    <rPh sb="0" eb="2">
      <t>ハッチュウ</t>
    </rPh>
    <rPh sb="2" eb="4">
      <t>ジカン</t>
    </rPh>
    <rPh sb="4" eb="5">
      <t>ナイ</t>
    </rPh>
    <rPh sb="5" eb="6">
      <t>ガイ</t>
    </rPh>
    <phoneticPr fontId="3"/>
  </si>
  <si>
    <t>新規決済区分</t>
    <rPh sb="0" eb="2">
      <t>シンキ</t>
    </rPh>
    <rPh sb="2" eb="4">
      <t>ケッサイ</t>
    </rPh>
    <rPh sb="4" eb="6">
      <t>クブン</t>
    </rPh>
    <phoneticPr fontId="3"/>
  </si>
  <si>
    <t>商品種別</t>
    <rPh sb="0" eb="2">
      <t>ショウヒン</t>
    </rPh>
    <rPh sb="2" eb="4">
      <t>シュベツ</t>
    </rPh>
    <phoneticPr fontId="3"/>
  </si>
  <si>
    <t>売買</t>
    <rPh sb="0" eb="2">
      <t>バイバイ</t>
    </rPh>
    <phoneticPr fontId="3"/>
  </si>
  <si>
    <t>数量</t>
    <rPh sb="0" eb="2">
      <t>スウリョウ</t>
    </rPh>
    <phoneticPr fontId="3"/>
  </si>
  <si>
    <t>建玉番号</t>
    <rPh sb="0" eb="1">
      <t>タ</t>
    </rPh>
    <rPh sb="1" eb="2">
      <t>タマ</t>
    </rPh>
    <rPh sb="2" eb="4">
      <t>バンゴウ</t>
    </rPh>
    <phoneticPr fontId="3"/>
  </si>
  <si>
    <t>建玉枝番</t>
    <rPh sb="0" eb="1">
      <t>タ</t>
    </rPh>
    <rPh sb="1" eb="2">
      <t>タマ</t>
    </rPh>
    <rPh sb="2" eb="4">
      <t>エダバン</t>
    </rPh>
    <phoneticPr fontId="3"/>
  </si>
  <si>
    <t>メモ</t>
    <phoneticPr fontId="3"/>
  </si>
  <si>
    <t>N225ミニ</t>
    <phoneticPr fontId="3"/>
  </si>
  <si>
    <t>C</t>
    <phoneticPr fontId="3"/>
  </si>
  <si>
    <t>建玉情報</t>
    <rPh sb="0" eb="1">
      <t>タ</t>
    </rPh>
    <rPh sb="1" eb="2">
      <t>タマ</t>
    </rPh>
    <rPh sb="2" eb="4">
      <t>ジョウホウ</t>
    </rPh>
    <phoneticPr fontId="3"/>
  </si>
  <si>
    <t>発注関数</t>
    <rPh sb="0" eb="2">
      <t>ハッチュウ</t>
    </rPh>
    <rPh sb="2" eb="4">
      <t>カンスウ</t>
    </rPh>
    <phoneticPr fontId="3"/>
  </si>
  <si>
    <t>決済訂正</t>
    <rPh sb="0" eb="2">
      <t>ケッサイ</t>
    </rPh>
    <rPh sb="2" eb="4">
      <t>テイセイ</t>
    </rPh>
    <phoneticPr fontId="3"/>
  </si>
  <si>
    <t>注文番号</t>
    <rPh sb="2" eb="4">
      <t>バンゴウ</t>
    </rPh>
    <phoneticPr fontId="2"/>
  </si>
  <si>
    <t>発注条件（逆指値指定時）</t>
    <rPh sb="0" eb="2">
      <t>ハッチュウ</t>
    </rPh>
    <rPh sb="2" eb="4">
      <t>ジョウケン</t>
    </rPh>
    <rPh sb="5" eb="6">
      <t>ギャク</t>
    </rPh>
    <rPh sb="6" eb="8">
      <t>サシネ</t>
    </rPh>
    <rPh sb="8" eb="10">
      <t>シテイ</t>
    </rPh>
    <rPh sb="10" eb="11">
      <t>トキ</t>
    </rPh>
    <phoneticPr fontId="2"/>
  </si>
  <si>
    <t>発注単価（逆指値指定時）</t>
    <rPh sb="0" eb="2">
      <t>ハッチュウ</t>
    </rPh>
    <rPh sb="2" eb="4">
      <t>タンカ</t>
    </rPh>
    <rPh sb="5" eb="6">
      <t>ギャク</t>
    </rPh>
    <rPh sb="6" eb="8">
      <t>サシネ</t>
    </rPh>
    <rPh sb="8" eb="10">
      <t>シテイ</t>
    </rPh>
    <rPh sb="10" eb="11">
      <t>トキ</t>
    </rPh>
    <phoneticPr fontId="2"/>
  </si>
  <si>
    <t>必要</t>
  </si>
  <si>
    <t>不要</t>
  </si>
  <si>
    <t>※2013年8月18日より注文番号を英字交じりの形式に変更</t>
    <rPh sb="15" eb="17">
      <t>バンゴウ</t>
    </rPh>
    <phoneticPr fontId="2"/>
  </si>
  <si>
    <t>※値のチェックは行わない。</t>
    <rPh sb="1" eb="2">
      <t>アタイ</t>
    </rPh>
    <rPh sb="8" eb="9">
      <t>オコナ</t>
    </rPh>
    <phoneticPr fontId="2"/>
  </si>
  <si>
    <t>訂正後の単価を指定します
成行、最大指値の場合は０を指定</t>
    <rPh sb="16" eb="18">
      <t>サイダイ</t>
    </rPh>
    <rPh sb="18" eb="20">
      <t>サシネ</t>
    </rPh>
    <phoneticPr fontId="2"/>
  </si>
  <si>
    <t>訂正後の数量を指定します</t>
  </si>
  <si>
    <r>
      <t>●執行条件が逆指値の時は下記を設定。
  0:最大指値、1:指値、10:指値(FOK)、11:指値(FAK)、12:成行(FOK)、13:成行(FAK)、14：最良指値、15：最良指値（FOK）、16：最良指値（FAK）
　(</t>
    </r>
    <r>
      <rPr>
        <sz val="9"/>
        <color indexed="10"/>
        <rFont val="ＭＳ Ｐゴシック"/>
        <family val="3"/>
        <charset val="128"/>
      </rPr>
      <t>指定しない場合最大指値</t>
    </r>
    <r>
      <rPr>
        <sz val="9"/>
        <rFont val="ＭＳ Ｐゴシック"/>
        <family val="3"/>
        <charset val="128"/>
      </rPr>
      <t xml:space="preserve">)
</t>
    </r>
    <r>
      <rPr>
        <sz val="9"/>
        <color indexed="10"/>
        <rFont val="ＭＳ Ｐゴシック"/>
        <family val="3"/>
        <charset val="128"/>
      </rPr>
      <t xml:space="preserve">
※逆指値以外：使用無し
※コード割り振りは、</t>
    </r>
    <r>
      <rPr>
        <sz val="9"/>
        <color indexed="10"/>
        <rFont val="ＭＳ Ｐゴシック"/>
        <family val="3"/>
        <charset val="128"/>
      </rPr>
      <t>J-GATE</t>
    </r>
    <r>
      <rPr>
        <sz val="9"/>
        <color indexed="10"/>
        <rFont val="ＭＳ Ｐゴシック"/>
        <family val="3"/>
        <charset val="128"/>
      </rPr>
      <t>対応前に合わせている
※マスタの値とは違うため、受取時にコンバート</t>
    </r>
    <rPh sb="1" eb="3">
      <t>シッコウ</t>
    </rPh>
    <rPh sb="3" eb="5">
      <t>ジョウケン</t>
    </rPh>
    <rPh sb="10" eb="11">
      <t>トキ</t>
    </rPh>
    <rPh sb="12" eb="14">
      <t>カキ</t>
    </rPh>
    <rPh sb="15" eb="17">
      <t>セッテイ</t>
    </rPh>
    <rPh sb="131" eb="133">
      <t>イガイ</t>
    </rPh>
    <rPh sb="134" eb="136">
      <t>シヨウ</t>
    </rPh>
    <rPh sb="136" eb="137">
      <t>ナ</t>
    </rPh>
    <phoneticPr fontId="2"/>
  </si>
  <si>
    <r>
      <t>●執行条件が逆指値の時
　</t>
    </r>
    <r>
      <rPr>
        <sz val="9"/>
        <color indexed="10"/>
        <rFont val="ＭＳ Ｐゴシック"/>
        <family val="3"/>
        <charset val="128"/>
      </rPr>
      <t>指定しない場合0を自動設定</t>
    </r>
    <r>
      <rPr>
        <sz val="9"/>
        <color indexed="10"/>
        <rFont val="ＭＳ Ｐゴシック"/>
        <family val="3"/>
        <charset val="128"/>
      </rPr>
      <t xml:space="preserve">
※逆指値</t>
    </r>
    <r>
      <rPr>
        <sz val="9"/>
        <color indexed="10"/>
        <rFont val="ＭＳ Ｐゴシック"/>
        <family val="3"/>
        <charset val="128"/>
      </rPr>
      <t>以外：使用無し</t>
    </r>
    <rPh sb="22" eb="24">
      <t>ジドウ</t>
    </rPh>
    <rPh sb="24" eb="26">
      <t>セッテイ</t>
    </rPh>
    <phoneticPr fontId="2"/>
  </si>
  <si>
    <t>建玉日時</t>
    <rPh sb="0" eb="1">
      <t>ケン</t>
    </rPh>
    <rPh sb="1" eb="2">
      <t>タマ</t>
    </rPh>
    <rPh sb="2" eb="4">
      <t>ニチジ</t>
    </rPh>
    <phoneticPr fontId="3"/>
  </si>
  <si>
    <t>"019"</t>
    <phoneticPr fontId="3"/>
  </si>
  <si>
    <t>"111120"</t>
    <phoneticPr fontId="3"/>
  </si>
  <si>
    <t>trade</t>
    <phoneticPr fontId="3"/>
  </si>
  <si>
    <t>trade</t>
    <phoneticPr fontId="3"/>
  </si>
  <si>
    <t>決済注文</t>
    <rPh sb="0" eb="2">
      <t>ケッサイ</t>
    </rPh>
    <rPh sb="2" eb="4">
      <t>チュウモン</t>
    </rPh>
    <phoneticPr fontId="3"/>
  </si>
  <si>
    <t>決済訂正</t>
    <rPh sb="0" eb="2">
      <t>ケッサイ</t>
    </rPh>
    <rPh sb="2" eb="4">
      <t>テイセイ</t>
    </rPh>
    <phoneticPr fontId="3"/>
  </si>
  <si>
    <t>価格情報</t>
    <rPh sb="0" eb="2">
      <t>カカク</t>
    </rPh>
    <rPh sb="2" eb="4">
      <t>ジョウホウ</t>
    </rPh>
    <phoneticPr fontId="3"/>
  </si>
  <si>
    <t>利益確定幅</t>
    <rPh sb="0" eb="2">
      <t>リエキ</t>
    </rPh>
    <rPh sb="2" eb="4">
      <t>カクテイ</t>
    </rPh>
    <rPh sb="4" eb="5">
      <t>ハバ</t>
    </rPh>
    <phoneticPr fontId="3"/>
  </si>
  <si>
    <t>利益確定待時間</t>
    <rPh sb="0" eb="2">
      <t>リエキ</t>
    </rPh>
    <rPh sb="2" eb="4">
      <t>カクテイ</t>
    </rPh>
    <rPh sb="4" eb="5">
      <t>マ</t>
    </rPh>
    <rPh sb="5" eb="7">
      <t>ジカン</t>
    </rPh>
    <phoneticPr fontId="3"/>
  </si>
  <si>
    <t>新規買い</t>
    <rPh sb="0" eb="2">
      <t>シンキ</t>
    </rPh>
    <rPh sb="2" eb="3">
      <t>カ</t>
    </rPh>
    <phoneticPr fontId="3"/>
  </si>
  <si>
    <t>発注希望時刻</t>
    <rPh sb="0" eb="2">
      <t>ハッチュウ</t>
    </rPh>
    <rPh sb="2" eb="4">
      <t>キボウ</t>
    </rPh>
    <rPh sb="4" eb="6">
      <t>ジコク</t>
    </rPh>
    <phoneticPr fontId="3"/>
  </si>
  <si>
    <t>現在時刻</t>
    <rPh sb="0" eb="2">
      <t>ゲンザイ</t>
    </rPh>
    <rPh sb="2" eb="4">
      <t>ジコク</t>
    </rPh>
    <phoneticPr fontId="3"/>
  </si>
  <si>
    <t>損切値幅</t>
    <rPh sb="0" eb="2">
      <t>ソンギリ</t>
    </rPh>
    <rPh sb="2" eb="4">
      <t>ネハバ</t>
    </rPh>
    <phoneticPr fontId="3"/>
  </si>
  <si>
    <t>建玉単価</t>
    <rPh sb="0" eb="1">
      <t>ケン</t>
    </rPh>
    <rPh sb="1" eb="2">
      <t>タマ</t>
    </rPh>
    <rPh sb="2" eb="4">
      <t>タンカ</t>
    </rPh>
    <phoneticPr fontId="3"/>
  </si>
  <si>
    <t>評価損駅額</t>
    <rPh sb="0" eb="2">
      <t>ヒョウカ</t>
    </rPh>
    <rPh sb="2" eb="3">
      <t>ソン</t>
    </rPh>
    <rPh sb="3" eb="4">
      <t>エキ</t>
    </rPh>
    <rPh sb="4" eb="5">
      <t>ガク</t>
    </rPh>
    <phoneticPr fontId="3"/>
  </si>
  <si>
    <t>現在値</t>
    <rPh sb="0" eb="2">
      <t>ゲンザイ</t>
    </rPh>
    <rPh sb="2" eb="3">
      <t>ネ</t>
    </rPh>
    <phoneticPr fontId="3"/>
  </si>
  <si>
    <t>売り気配</t>
    <rPh sb="0" eb="1">
      <t>ウ</t>
    </rPh>
    <rPh sb="2" eb="4">
      <t>ケハイ</t>
    </rPh>
    <phoneticPr fontId="3"/>
  </si>
  <si>
    <t>買い気配</t>
    <rPh sb="0" eb="1">
      <t>カ</t>
    </rPh>
    <rPh sb="2" eb="4">
      <t>ケハイ</t>
    </rPh>
    <phoneticPr fontId="3"/>
  </si>
  <si>
    <t>"119"</t>
    <phoneticPr fontId="3"/>
  </si>
  <si>
    <t>○○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</si>
</sst>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&quot;分&quot;"/>
    <numFmt numFmtId="177" formatCode="0&quot;分&quot;"/>
    <numFmt numFmtId="178" formatCode="0&quot;円&quot;"/>
    <numFmt numFmtId="179" formatCode="#,##0.0000;[Red]\-#,##0.0000"/>
  </numFmts>
  <fonts count="6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b/>
      <sz val="18"/>
      <color theme="3"/>
      <name val="ＭＳ Ｐゴシック"/>
      <family val="2"/>
      <charset val="128"/>
      <scheme val="major"/>
    </font>
    <font>
      <sz val="6"/>
      <name val="ＭＳ Ｐゴシック"/>
      <family val="3"/>
      <charset val="128"/>
      <scheme val="minor"/>
    </font>
    <font>
      <sz val="9"/>
      <color indexed="10"/>
      <name val="ＭＳ Ｐ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0" fillId="2" borderId="0" xfId="0" applyFill="1"/>
    <xf numFmtId="176" fontId="0" fillId="0" borderId="0" xfId="1" applyNumberFormat="1" applyFont="1" applyAlignment="1">
      <alignment horizontal="left" vertical="center" wrapText="1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22" fontId="0" fillId="0" borderId="0" xfId="0" applyNumberFormat="1"/>
    <xf numFmtId="22" fontId="0" fillId="0" borderId="5" xfId="0" applyNumberFormat="1" applyBorder="1"/>
    <xf numFmtId="0" fontId="0" fillId="0" borderId="0" xfId="0" applyFill="1"/>
    <xf numFmtId="178" fontId="0" fillId="4" borderId="0" xfId="0" applyNumberFormat="1" applyFont="1" applyFill="1"/>
    <xf numFmtId="177" fontId="0" fillId="4" borderId="0" xfId="0" applyNumberFormat="1" applyFill="1"/>
    <xf numFmtId="22" fontId="0" fillId="4" borderId="0" xfId="1" applyNumberFormat="1" applyFont="1" applyFill="1" applyAlignment="1"/>
    <xf numFmtId="3" fontId="0" fillId="0" borderId="0" xfId="0" applyNumberFormat="1"/>
    <xf numFmtId="22" fontId="0" fillId="0" borderId="0" xfId="0" applyNumberFormat="1" applyBorder="1"/>
    <xf numFmtId="3" fontId="0" fillId="0" borderId="0" xfId="0" applyNumberFormat="1" applyBorder="1"/>
    <xf numFmtId="0" fontId="0" fillId="0" borderId="1" xfId="0" applyBorder="1"/>
    <xf numFmtId="0" fontId="0" fillId="0" borderId="2" xfId="0" applyBorder="1"/>
    <xf numFmtId="0" fontId="0" fillId="0" borderId="2" xfId="0" applyFill="1" applyBorder="1"/>
    <xf numFmtId="0" fontId="0" fillId="0" borderId="3" xfId="0" applyFill="1" applyBorder="1"/>
    <xf numFmtId="179" fontId="0" fillId="0" borderId="0" xfId="1" applyNumberFormat="1" applyFont="1" applyAlignment="1"/>
    <xf numFmtId="0" fontId="0" fillId="3" borderId="4" xfId="0" applyFill="1" applyBorder="1" applyAlignment="1">
      <alignment horizontal="center"/>
    </xf>
    <xf numFmtId="0" fontId="0" fillId="3" borderId="0" xfId="0" applyFill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">
      <tp t="s">
        <v>23:17:14</v>
        <stp/>
        <stp>FQUOTE</stp>
        <stp>N225mini</stp>
        <stp>201706</stp>
        <stp>現在値時刻</stp>
        <tr r="H18" s="1"/>
      </tp>
    </main>
    <main first="oson2.rtdserver2">
      <tp t="e">
        <v>#N/A</v>
        <stp/>
        <stp>Sheet1</stp>
        <stp>=FOPORDQUERY("1","2","約定数量",AF21)</stp>
        <tr r="AF20" s="1"/>
      </tp>
      <tp t="e">
        <v>#N/A</v>
        <stp/>
        <stp>Sheet1</stp>
        <stp>=FOPORDQUERY("1","2","訂正可能フラグ",AI21)</stp>
        <tr r="AI20" s="1"/>
      </tp>
      <tp t="e">
        <v>#N/A</v>
        <stp/>
        <stp>Sheet1</stp>
        <stp>=FOPORDQUERY("1","2","銘柄名",Y21)</stp>
        <tr r="Y20" s="1"/>
      </tp>
      <tp t="e">
        <v>#N/A</v>
        <stp/>
        <stp>Sheet1</stp>
        <stp>=FOPPOSITION("メモ",AB11,"0")</stp>
        <tr r="AB10" s="1"/>
      </tp>
      <tp t="e">
        <v>#N/A</v>
        <stp/>
        <stp>Sheet1</stp>
        <stp>=FOPORDQUERY("1","2","商品種別",Z21)</stp>
        <tr r="Z20" s="1"/>
      </tp>
      <tp t="e">
        <v>#N/A</v>
        <stp/>
        <stp>Sheet1</stp>
        <stp>=FOPORDQUERY("1","2","執行条件",AC21)</stp>
        <tr r="AC20" s="1"/>
      </tp>
      <tp t="e">
        <v>#N/A</v>
        <stp/>
        <stp>Sheet1</stp>
        <stp>=FOPORDQUERY("1","2","売買",AA21)</stp>
        <tr r="AA20" s="1"/>
      </tp>
      <tp t="e">
        <v>#N/A</v>
        <stp/>
        <stp>Sheet1</stp>
        <stp>=FOPPOSITION("商品種別",W11,"0")</stp>
        <tr r="W10" s="1"/>
      </tp>
      <tp t="e">
        <v>#N/A</v>
        <stp/>
        <stp>Sheet1</stp>
        <stp>=FOPORDQUERY("1","2","銘柄コード",X21)</stp>
        <tr r="X20" s="1"/>
      </tp>
      <tp t="e">
        <v>#N/A</v>
        <stp/>
        <stp>Sheet1</stp>
        <stp>=FOPORDQUERY("1","2","訂正・取消可能フラグ",AH21)</stp>
        <tr r="AH20" s="1"/>
      </tp>
    </main>
    <main first="oson2.rtdserver">
      <tp>
        <v>19680</v>
        <stp/>
        <stp>FQUOTE</stp>
        <stp>N225mini</stp>
        <stp>201706</stp>
        <stp>売気配値</stp>
        <tr r="I18" s="1"/>
      </tp>
      <tp>
        <v>19675</v>
        <stp/>
        <stp>FQUOTE</stp>
        <stp>N225mini</stp>
        <stp>201706</stp>
        <stp>買気配値</stp>
        <tr r="J18" s="1"/>
      </tp>
    </main>
    <main first="oson2.rtdserver2">
      <tp t="e">
        <v>#N/A</v>
        <stp/>
        <stp>Sheet1</stp>
        <stp>=FOPPOSITION("数量",Y11,"0")</stp>
        <tr r="Y10" s="1"/>
      </tp>
      <tp t="e">
        <v>#N/A</v>
        <stp/>
        <stp>Sheet1</stp>
        <stp>=FOPPOSITION("建玉枝番号",AA11,"0")</stp>
        <tr r="AA10" s="1"/>
      </tp>
    </main>
    <main first="oson2.rtdserver">
      <tp>
        <v>19675</v>
        <stp/>
        <stp>FQUOTE</stp>
        <stp>N225mini</stp>
        <stp>201706</stp>
        <stp>現在値</stp>
        <tr r="K18" s="1"/>
      </tp>
    </main>
    <main first="oson2.rtdserver2">
      <tp t="e">
        <v>#N/A</v>
        <stp/>
        <stp>Sheet1</stp>
        <stp>=FOPORDQUERY("1","2","受付日時",AG21)</stp>
        <tr r="AG20" s="1"/>
      </tp>
    </main>
    <main first="oson2.rtdserver">
      <tp t="s">
        <v>201706</v>
        <stp/>
        <stp>FQUOTE</stp>
        <stp>N225mini</stp>
        <stp>201706</stp>
        <stp>限月</stp>
        <tr r="G18" s="1"/>
      </tp>
      <tp t="s">
        <v>162060019</v>
        <stp/>
        <stp>FQUOTE</stp>
        <stp>N225mini</stp>
        <stp>201706</stp>
        <stp>銘柄コード</stp>
        <tr r="E18" s="1"/>
      </tp>
    </main>
    <main first="oson2.rtdserver2">
      <tp t="e">
        <v>#N/A</v>
        <stp/>
        <stp>Sheet1</stp>
        <stp>=FOPORDQUERY("1","2","取消可能フラグ",AJ21)</stp>
        <tr r="AJ20" s="1"/>
      </tp>
      <tp t="e">
        <v>#N/A</v>
        <stp/>
        <stp>Sheet1</stp>
        <stp>=FOPORDQUERY("1","2","取引種別",AB21)</stp>
        <tr r="AB20" s="1"/>
      </tp>
      <tp t="e">
        <v>#N/A</v>
        <stp/>
        <stp>Sheet1</stp>
        <stp>=FOPPOSITION("売買",X11,"0")</stp>
        <tr r="X10" s="1"/>
      </tp>
      <tp t="e">
        <v>#N/A</v>
        <stp/>
        <stp>Sheet1</stp>
        <stp>=FOPORDQUERY("1","2","注文単価",AD21)</stp>
        <tr r="AD20" s="1"/>
      </tp>
      <tp t="e">
        <v>#N/A</v>
        <stp/>
        <stp>Sheet1</stp>
        <stp>=FOPORDQUERY("1","2","注文数量",AE21)</stp>
        <tr r="AE20" s="1"/>
      </tp>
      <tp t="e">
        <v>#N/A</v>
        <stp/>
        <stp>Sheet1</stp>
        <stp>=FOPPOSITION("建玉番号",Z11,"0")</stp>
        <tr r="Z10" s="1"/>
      </tp>
      <tp t="e">
        <v>#N/A</v>
        <stp/>
        <stp>Sheet1</stp>
        <stp>=FOPPOSITION("建玉単価",AC11,"0")</stp>
        <tr r="AC10" s="1"/>
      </tp>
      <tp t="e">
        <v>#N/A</v>
        <stp/>
        <stp>Sheet1</stp>
        <stp>=FOPPOSITION("建玉日時",AD11,"0")</stp>
        <tr r="AD10" s="1"/>
      </tp>
    </main>
    <main first="oson2.rtdserver">
      <tp t="s">
        <v>N225ミニ17/06</v>
        <stp/>
        <stp>FQUOTE</stp>
        <stp>N225mini</stp>
        <stp>201706</stp>
        <stp>銘柄名</stp>
        <tr r="F18" s="1"/>
      </tp>
    </main>
    <main first="oson2.rtdserver2">
      <tp t="e">
        <v>#N/A</v>
        <stp/>
        <stp>Sheet1</stp>
        <stp>=FOPORDQUERY("1","2","注文番号",W21)</stp>
        <tr r="W20" s="1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volatileDependencies" Target="volatileDependenci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FNEWORDER"/>
      <definedName name="FOPORDQUERY"/>
      <definedName name="FOPPOSITION"/>
      <definedName name="FQUOTE"/>
      <definedName name="freplaceorder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41"/>
  <sheetViews>
    <sheetView tabSelected="1" zoomScale="55" zoomScaleNormal="55" workbookViewId="0">
      <selection activeCell="O33" sqref="O33"/>
    </sheetView>
  </sheetViews>
  <sheetFormatPr defaultRowHeight="13.2" x14ac:dyDescent="0.2"/>
  <cols>
    <col min="1" max="2" width="16.109375" bestFit="1" customWidth="1"/>
    <col min="3" max="3" width="10" bestFit="1" customWidth="1"/>
    <col min="28" max="28" width="10.88671875" customWidth="1"/>
    <col min="29" max="29" width="16.109375" customWidth="1"/>
    <col min="30" max="30" width="16.109375" bestFit="1" customWidth="1"/>
    <col min="31" max="31" width="16.77734375" customWidth="1"/>
    <col min="33" max="33" width="15.77734375" customWidth="1"/>
  </cols>
  <sheetData>
    <row r="1" spans="1:38" x14ac:dyDescent="0.2">
      <c r="A1" t="s">
        <v>97</v>
      </c>
      <c r="B1" s="11">
        <f ca="1">NOW()</f>
        <v>42878.970361921296</v>
      </c>
    </row>
    <row r="2" spans="1:38" x14ac:dyDescent="0.2">
      <c r="A2" t="s">
        <v>95</v>
      </c>
    </row>
    <row r="3" spans="1:38" x14ac:dyDescent="0.2">
      <c r="A3" t="s">
        <v>96</v>
      </c>
      <c r="B3" s="16">
        <v>42878.95208333333</v>
      </c>
    </row>
    <row r="4" spans="1:38" x14ac:dyDescent="0.2">
      <c r="A4" t="s">
        <v>93</v>
      </c>
      <c r="B4" s="14">
        <v>50</v>
      </c>
    </row>
    <row r="5" spans="1:38" x14ac:dyDescent="0.2">
      <c r="A5" t="s">
        <v>94</v>
      </c>
      <c r="B5" s="15">
        <v>30</v>
      </c>
      <c r="C5" s="24">
        <f>TIME(0,B5,0)</f>
        <v>2.0833333333333332E-2</v>
      </c>
    </row>
    <row r="6" spans="1:38" x14ac:dyDescent="0.2">
      <c r="A6" t="s">
        <v>98</v>
      </c>
      <c r="B6" s="14">
        <v>-50</v>
      </c>
    </row>
    <row r="8" spans="1:38" ht="13.8" thickBot="1" x14ac:dyDescent="0.25">
      <c r="A8" t="s">
        <v>62</v>
      </c>
      <c r="B8" t="s">
        <v>61</v>
      </c>
      <c r="C8" t="s">
        <v>72</v>
      </c>
      <c r="D8" t="s">
        <v>3</v>
      </c>
      <c r="E8" t="s">
        <v>4</v>
      </c>
      <c r="F8" t="s">
        <v>5</v>
      </c>
      <c r="G8" t="s">
        <v>6</v>
      </c>
      <c r="H8" t="s">
        <v>7</v>
      </c>
      <c r="I8" t="s">
        <v>8</v>
      </c>
      <c r="J8" t="s">
        <v>9</v>
      </c>
      <c r="K8" s="13" t="s">
        <v>10</v>
      </c>
      <c r="L8" t="s">
        <v>11</v>
      </c>
      <c r="M8" s="3" t="s">
        <v>12</v>
      </c>
      <c r="N8" t="s">
        <v>13</v>
      </c>
      <c r="O8" t="s">
        <v>14</v>
      </c>
      <c r="P8" s="3" t="s">
        <v>15</v>
      </c>
      <c r="Q8" t="s">
        <v>16</v>
      </c>
      <c r="R8" t="s">
        <v>17</v>
      </c>
      <c r="S8" t="s">
        <v>18</v>
      </c>
      <c r="T8" t="s">
        <v>19</v>
      </c>
      <c r="U8" t="s">
        <v>20</v>
      </c>
      <c r="W8" s="25" t="s">
        <v>71</v>
      </c>
      <c r="X8" s="26"/>
      <c r="Y8" s="26"/>
      <c r="Z8" s="26"/>
      <c r="AA8" s="26"/>
      <c r="AB8" s="26"/>
      <c r="AC8" s="26"/>
      <c r="AD8" s="26"/>
    </row>
    <row r="9" spans="1:38" x14ac:dyDescent="0.2">
      <c r="A9" s="4"/>
      <c r="B9" s="4"/>
      <c r="D9" t="s">
        <v>0</v>
      </c>
      <c r="E9" t="s">
        <v>1</v>
      </c>
      <c r="F9" t="s">
        <v>21</v>
      </c>
      <c r="G9" t="s">
        <v>22</v>
      </c>
      <c r="H9" t="s">
        <v>23</v>
      </c>
      <c r="I9" t="s">
        <v>2</v>
      </c>
      <c r="J9" t="s">
        <v>24</v>
      </c>
      <c r="K9" s="13" t="s">
        <v>25</v>
      </c>
      <c r="L9" t="s">
        <v>26</v>
      </c>
      <c r="M9" s="3" t="s">
        <v>27</v>
      </c>
      <c r="N9" t="s">
        <v>28</v>
      </c>
      <c r="O9" t="s">
        <v>29</v>
      </c>
      <c r="P9" s="3" t="s">
        <v>30</v>
      </c>
      <c r="Q9" t="s">
        <v>31</v>
      </c>
      <c r="R9" t="s">
        <v>32</v>
      </c>
      <c r="S9" t="s">
        <v>33</v>
      </c>
      <c r="T9" t="s">
        <v>34</v>
      </c>
      <c r="U9" t="s">
        <v>35</v>
      </c>
      <c r="W9" s="20" t="s">
        <v>63</v>
      </c>
      <c r="X9" s="21" t="s">
        <v>64</v>
      </c>
      <c r="Y9" s="21" t="s">
        <v>65</v>
      </c>
      <c r="Z9" s="21" t="s">
        <v>66</v>
      </c>
      <c r="AA9" s="21" t="s">
        <v>67</v>
      </c>
      <c r="AB9" s="21" t="s">
        <v>68</v>
      </c>
      <c r="AC9" s="22" t="s">
        <v>99</v>
      </c>
      <c r="AD9" s="23" t="s">
        <v>85</v>
      </c>
    </row>
    <row r="10" spans="1:38" ht="14.25" customHeight="1" x14ac:dyDescent="0.2">
      <c r="D10" s="2" t="s">
        <v>36</v>
      </c>
      <c r="E10" t="s">
        <v>37</v>
      </c>
      <c r="F10" t="s">
        <v>38</v>
      </c>
      <c r="G10" s="2" t="s">
        <v>39</v>
      </c>
      <c r="H10" t="s">
        <v>40</v>
      </c>
      <c r="I10" t="s">
        <v>41</v>
      </c>
      <c r="J10" t="s">
        <v>42</v>
      </c>
      <c r="K10" s="13" t="s">
        <v>43</v>
      </c>
      <c r="M10" s="3" t="s">
        <v>44</v>
      </c>
      <c r="N10" t="s">
        <v>44</v>
      </c>
      <c r="O10" t="s">
        <v>45</v>
      </c>
      <c r="P10" s="3" t="s">
        <v>46</v>
      </c>
      <c r="Q10" t="s">
        <v>47</v>
      </c>
      <c r="R10" t="s">
        <v>48</v>
      </c>
      <c r="S10" t="s">
        <v>49</v>
      </c>
      <c r="T10" t="s">
        <v>50</v>
      </c>
      <c r="U10" t="s">
        <v>51</v>
      </c>
      <c r="W10" s="5" t="str">
        <f>[1]!FOPPOSITION("商品種別",W11,"0")</f>
        <v>FOPPOSITION("商品種別",W11,"0")</v>
      </c>
      <c r="X10" s="6" t="str">
        <f>[1]!FOPPOSITION("売買",X11,"0")</f>
        <v>FOPPOSITION("売買",X11,"0")</v>
      </c>
      <c r="Y10" s="6" t="str">
        <f>[1]!FOPPOSITION("数量",Y11,"0")</f>
        <v>FOPPOSITION("数量",Y11,"0")</v>
      </c>
      <c r="Z10" s="6" t="str">
        <f>[1]!FOPPOSITION("建玉番号",Z11,"0")</f>
        <v>FOPPOSITION("建玉番号",Z11,"0")</v>
      </c>
      <c r="AA10" s="6" t="str">
        <f>[1]!FOPPOSITION("建玉枝番号",AA11,"0")</f>
        <v>FOPPOSITION("建玉枝番号",AA11,"0")</v>
      </c>
      <c r="AB10" s="6" t="str">
        <f>[1]!FOPPOSITION("メモ",AB11,"0")</f>
        <v>FOPPOSITION("メモ",AB11,"0")</v>
      </c>
      <c r="AC10" s="6" t="str">
        <f>[1]!FOPPOSITION("建玉単価",AC11,"0")</f>
        <v>FOPPOSITION("建玉単価",AC11,"0")</v>
      </c>
      <c r="AD10" s="7" t="str">
        <f>[1]!FOPPOSITION("建玉日時",AD11,"0")</f>
        <v>FOPPOSITION("建玉日時",AD11,"0")</v>
      </c>
      <c r="AK10" t="s">
        <v>57</v>
      </c>
      <c r="AL10" t="s">
        <v>58</v>
      </c>
    </row>
    <row r="11" spans="1:38" x14ac:dyDescent="0.2">
      <c r="A11" t="s">
        <v>59</v>
      </c>
      <c r="B11" s="1" t="str">
        <f ca="1">IF(B3&lt;B1,"発注","-")</f>
        <v>発注</v>
      </c>
      <c r="C11" t="str">
        <f ca="1">IF(B11="発注",[1]!FNEWORDER(D11,E11,F11,G11,H11,I11,J11,K11,L11,M11,N11,O11,P11,Q11,R11,S11,T11,U11),"-")</f>
        <v>発注完了</v>
      </c>
      <c r="D11" t="s">
        <v>55</v>
      </c>
      <c r="E11">
        <v>0</v>
      </c>
      <c r="F11">
        <v>1</v>
      </c>
      <c r="G11" t="s">
        <v>53</v>
      </c>
      <c r="H11" t="s">
        <v>53</v>
      </c>
      <c r="I11">
        <v>3</v>
      </c>
      <c r="J11">
        <v>0</v>
      </c>
      <c r="K11" s="13">
        <v>0</v>
      </c>
      <c r="L11">
        <v>1</v>
      </c>
      <c r="M11" s="3">
        <v>0</v>
      </c>
      <c r="N11">
        <v>1</v>
      </c>
      <c r="P11" s="3" t="s">
        <v>105</v>
      </c>
      <c r="Q11" t="s">
        <v>86</v>
      </c>
      <c r="R11">
        <v>1</v>
      </c>
      <c r="S11" t="s">
        <v>88</v>
      </c>
      <c r="T11" t="s">
        <v>53</v>
      </c>
      <c r="U11" t="s">
        <v>53</v>
      </c>
      <c r="W11" s="5" t="s">
        <v>56</v>
      </c>
      <c r="X11" s="6" t="s">
        <v>56</v>
      </c>
      <c r="Y11" s="6" t="s">
        <v>56</v>
      </c>
      <c r="Z11" s="6" t="s">
        <v>56</v>
      </c>
      <c r="AA11" s="6" t="s">
        <v>56</v>
      </c>
      <c r="AB11" s="18" t="s">
        <v>56</v>
      </c>
      <c r="AC11" s="19" t="s">
        <v>56</v>
      </c>
      <c r="AD11" s="12" t="s">
        <v>56</v>
      </c>
      <c r="AE11" s="11">
        <f ca="1">NOW()</f>
        <v>42878.970361921296</v>
      </c>
      <c r="AF11" s="11" t="e">
        <f>TIMEVALUE("0:00:10")+AD11</f>
        <v>#VALUE!</v>
      </c>
      <c r="AJ11" t="s">
        <v>69</v>
      </c>
      <c r="AK11" t="e">
        <f>VLOOKUP(AJ11,W:X,2,FALSE)</f>
        <v>#N/A</v>
      </c>
      <c r="AL11">
        <f>SUMIF(W:W,AJ11,Y:Y)</f>
        <v>0</v>
      </c>
    </row>
    <row r="12" spans="1:38" x14ac:dyDescent="0.2">
      <c r="A12" t="s">
        <v>60</v>
      </c>
      <c r="B12" s="1" t="e">
        <f ca="1">IF(AE13="発注OK",IF(OR(AK11="売",AK11="買"),"発注",""))</f>
        <v>#VALUE!</v>
      </c>
      <c r="C12" t="e">
        <f ca="1">IF(B12="発注",[1]!FNEWORDER(D12,E12,F12,G12,H12,I12,J12,K12,L12,M12,N12,O12,P12,Q12,R12,S12,T12,U12),"-")</f>
        <v>#VALUE!</v>
      </c>
      <c r="D12" t="s">
        <v>54</v>
      </c>
      <c r="E12">
        <v>0</v>
      </c>
      <c r="F12">
        <v>2</v>
      </c>
      <c r="G12" t="s">
        <v>70</v>
      </c>
      <c r="H12" t="s">
        <v>52</v>
      </c>
      <c r="I12">
        <v>1</v>
      </c>
      <c r="J12">
        <v>1</v>
      </c>
      <c r="K12" s="13">
        <f>+I18+B4</f>
        <v>19730</v>
      </c>
      <c r="L12">
        <f>+AL11</f>
        <v>0</v>
      </c>
      <c r="M12" s="3">
        <v>0</v>
      </c>
      <c r="N12">
        <v>1</v>
      </c>
      <c r="P12" s="3" t="s">
        <v>105</v>
      </c>
      <c r="Q12" t="s">
        <v>87</v>
      </c>
      <c r="R12">
        <v>1</v>
      </c>
      <c r="S12" t="s">
        <v>89</v>
      </c>
      <c r="T12" t="s">
        <v>52</v>
      </c>
      <c r="U12" t="s">
        <v>52</v>
      </c>
      <c r="W12" s="5"/>
      <c r="X12" s="6"/>
      <c r="Y12" s="6"/>
      <c r="Z12" s="6"/>
      <c r="AA12" s="6"/>
      <c r="AB12" s="6"/>
      <c r="AC12" s="6"/>
      <c r="AD12" s="12"/>
      <c r="AF12" s="11" t="e">
        <f>C5+AD11</f>
        <v>#VALUE!</v>
      </c>
    </row>
    <row r="13" spans="1:38" x14ac:dyDescent="0.2">
      <c r="W13" s="5"/>
      <c r="X13" s="6"/>
      <c r="Y13" s="6"/>
      <c r="Z13" s="6"/>
      <c r="AA13" s="6"/>
      <c r="AB13" s="6"/>
      <c r="AC13" s="6"/>
      <c r="AD13" s="7"/>
      <c r="AE13" t="e">
        <f ca="1">IF(AE11&gt;AF11,"発注OK","発注NG")</f>
        <v>#VALUE!</v>
      </c>
      <c r="AF13" t="s">
        <v>90</v>
      </c>
    </row>
    <row r="14" spans="1:38" x14ac:dyDescent="0.2">
      <c r="W14" s="5"/>
      <c r="X14" s="6"/>
      <c r="Y14" s="6"/>
      <c r="Z14" s="6"/>
      <c r="AA14" s="6"/>
      <c r="AB14" s="6"/>
      <c r="AC14" s="6"/>
      <c r="AD14" s="7"/>
      <c r="AE14" t="e">
        <f ca="1">IF(AE11&gt;AF12,"発注OK","発注NG")</f>
        <v>#VALUE!</v>
      </c>
      <c r="AF14" t="s">
        <v>91</v>
      </c>
    </row>
    <row r="15" spans="1:38" x14ac:dyDescent="0.2">
      <c r="W15" s="5"/>
      <c r="X15" s="6"/>
      <c r="Y15" s="6"/>
      <c r="Z15" s="6"/>
      <c r="AA15" s="6"/>
      <c r="AB15" s="6"/>
      <c r="AC15" s="6"/>
      <c r="AD15" s="7"/>
      <c r="AE15" t="e">
        <f>IF(AF15&lt;B6,"発注OK","-")</f>
        <v>#VALUE!</v>
      </c>
      <c r="AF15" s="17" t="e">
        <f>+K18-AC11</f>
        <v>#VALUE!</v>
      </c>
      <c r="AG15" t="s">
        <v>100</v>
      </c>
    </row>
    <row r="16" spans="1:38" ht="13.8" thickBot="1" x14ac:dyDescent="0.25">
      <c r="W16" s="8"/>
      <c r="X16" s="9"/>
      <c r="Y16" s="9"/>
      <c r="Z16" s="9"/>
      <c r="AA16" s="9"/>
      <c r="AB16" s="9"/>
      <c r="AC16" s="9"/>
      <c r="AD16" s="10"/>
    </row>
    <row r="17" spans="1:36" x14ac:dyDescent="0.2">
      <c r="E17" t="s">
        <v>92</v>
      </c>
      <c r="I17" t="s">
        <v>102</v>
      </c>
      <c r="J17" t="s">
        <v>103</v>
      </c>
      <c r="K17" t="s">
        <v>101</v>
      </c>
    </row>
    <row r="18" spans="1:36" x14ac:dyDescent="0.2">
      <c r="E18" t="str">
        <f>[1]!FQUOTE("N225mini","201706","銘柄コード")</f>
        <v>162060019</v>
      </c>
      <c r="F18" t="str">
        <f>[1]!FQUOTE("N225mini","201706","銘柄名")</f>
        <v>N225ミニ17/06</v>
      </c>
      <c r="G18" t="str">
        <f>[1]!FQUOTE("N225mini","201706","限月")</f>
        <v>201706</v>
      </c>
      <c r="H18" t="str">
        <f>[1]!FQUOTE("N225mini","201706","現在値時刻")</f>
        <v>23:17:14</v>
      </c>
      <c r="I18">
        <f>[1]!FQUOTE("N225mini","201706","売気配値")</f>
        <v>19680</v>
      </c>
      <c r="J18">
        <f>[1]!FQUOTE("N225mini","201706","買気配値")</f>
        <v>19675</v>
      </c>
      <c r="K18">
        <f>[1]!FQUOTE("N225mini","201706","現在値")</f>
        <v>19675</v>
      </c>
    </row>
    <row r="20" spans="1:36" x14ac:dyDescent="0.2">
      <c r="W20" t="str">
        <f>[1]!FOPORDQUERY("1","2","注文番号",W21)</f>
        <v>FOPORDQUERY("1","2","注文番号",W21)</v>
      </c>
      <c r="X20" t="str">
        <f>[1]!FOPORDQUERY("1","2","銘柄コード",X21)</f>
        <v>FOPORDQUERY("1","2","銘柄コード",X21)</v>
      </c>
      <c r="Y20" t="str">
        <f>[1]!FOPORDQUERY("1","2","銘柄名",Y21)</f>
        <v>FOPORDQUERY("1","2","銘柄名",Y21)</v>
      </c>
      <c r="Z20" t="str">
        <f>[1]!FOPORDQUERY("1","2","商品種別",Z21)</f>
        <v>FOPORDQUERY("1","2","商品種別",Z21)</v>
      </c>
      <c r="AA20" t="str">
        <f>[1]!FOPORDQUERY("1","2","売買",AA21)</f>
        <v>FOPORDQUERY("1","2","売買",AA21)</v>
      </c>
      <c r="AB20" t="str">
        <f>[1]!FOPORDQUERY("1","2","取引種別",AB21)</f>
        <v>FOPORDQUERY("1","2","取引種別",AB21)</v>
      </c>
      <c r="AC20" t="str">
        <f>[1]!FOPORDQUERY("1","2","執行条件",AC21)</f>
        <v>FOPORDQUERY("1","2","執行条件",AC21)</v>
      </c>
      <c r="AD20" t="str">
        <f>[1]!FOPORDQUERY("1","2","注文単価",AD21)</f>
        <v>FOPORDQUERY("1","2","注文単価",AD21)</v>
      </c>
      <c r="AE20" t="str">
        <f>[1]!FOPORDQUERY("1","2","注文数量",AE21)</f>
        <v>FOPORDQUERY("1","2","注文数量",AE21)</v>
      </c>
      <c r="AF20" t="str">
        <f>[1]!FOPORDQUERY("1","2","約定数量",AF21)</f>
        <v>FOPORDQUERY("1","2","約定数量",AF21)</v>
      </c>
      <c r="AG20" t="str">
        <f>[1]!FOPORDQUERY("1","2","受付日時",AG21)</f>
        <v>FOPORDQUERY("1","2","受付日時",AG21)</v>
      </c>
      <c r="AH20" t="str">
        <f>[1]!FOPORDQUERY("1","2","訂正・取消可能フラグ",AH21)</f>
        <v>FOPORDQUERY("1","2","訂正・取消可能フラグ",AH21)</v>
      </c>
      <c r="AI20" t="str">
        <f>[1]!FOPORDQUERY("1","2","訂正可能フラグ",AI21)</f>
        <v>FOPORDQUERY("1","2","訂正可能フラグ",AI21)</v>
      </c>
      <c r="AJ20" t="str">
        <f>[1]!FOPORDQUERY("1","2","取消可能フラグ",AJ21)</f>
        <v>FOPORDQUERY("1","2","取消可能フラグ",AJ21)</v>
      </c>
    </row>
    <row r="21" spans="1:36" x14ac:dyDescent="0.2">
      <c r="W21" t="s">
        <v>56</v>
      </c>
      <c r="X21" t="s">
        <v>56</v>
      </c>
      <c r="Y21" t="s">
        <v>56</v>
      </c>
      <c r="Z21" t="s">
        <v>56</v>
      </c>
      <c r="AA21" t="s">
        <v>56</v>
      </c>
      <c r="AB21" t="s">
        <v>56</v>
      </c>
      <c r="AC21" t="s">
        <v>56</v>
      </c>
      <c r="AD21" t="s">
        <v>56</v>
      </c>
      <c r="AE21" t="s">
        <v>56</v>
      </c>
      <c r="AF21" t="s">
        <v>56</v>
      </c>
      <c r="AG21" s="11" t="s">
        <v>56</v>
      </c>
      <c r="AH21" t="s">
        <v>56</v>
      </c>
      <c r="AI21" t="s">
        <v>56</v>
      </c>
      <c r="AJ21" t="s">
        <v>56</v>
      </c>
    </row>
    <row r="23" spans="1:36" x14ac:dyDescent="0.2">
      <c r="D23" t="s">
        <v>3</v>
      </c>
      <c r="E23" t="s">
        <v>4</v>
      </c>
      <c r="F23" t="s">
        <v>5</v>
      </c>
      <c r="G23" t="s">
        <v>6</v>
      </c>
      <c r="H23" s="3" t="s">
        <v>7</v>
      </c>
      <c r="I23" t="s">
        <v>8</v>
      </c>
      <c r="J23" t="s">
        <v>9</v>
      </c>
      <c r="K23" s="3" t="s">
        <v>10</v>
      </c>
      <c r="L23" t="s">
        <v>11</v>
      </c>
      <c r="M23" t="s">
        <v>12</v>
      </c>
      <c r="N23" t="s">
        <v>13</v>
      </c>
    </row>
    <row r="24" spans="1:36" x14ac:dyDescent="0.2">
      <c r="D24" t="s">
        <v>74</v>
      </c>
      <c r="E24" t="s">
        <v>24</v>
      </c>
      <c r="F24" t="s">
        <v>25</v>
      </c>
      <c r="G24" t="s">
        <v>26</v>
      </c>
      <c r="H24" s="3" t="s">
        <v>27</v>
      </c>
      <c r="I24" t="s">
        <v>28</v>
      </c>
      <c r="J24" t="s">
        <v>29</v>
      </c>
      <c r="K24" s="3" t="s">
        <v>30</v>
      </c>
      <c r="L24" t="s">
        <v>31</v>
      </c>
      <c r="M24" t="s">
        <v>75</v>
      </c>
      <c r="N24" t="s">
        <v>76</v>
      </c>
    </row>
    <row r="25" spans="1:36" x14ac:dyDescent="0.2">
      <c r="D25" t="s">
        <v>77</v>
      </c>
      <c r="E25" t="s">
        <v>77</v>
      </c>
      <c r="F25" t="s">
        <v>77</v>
      </c>
      <c r="G25" t="s">
        <v>78</v>
      </c>
      <c r="H25" s="3" t="s">
        <v>78</v>
      </c>
      <c r="I25" t="s">
        <v>78</v>
      </c>
      <c r="J25" t="s">
        <v>78</v>
      </c>
      <c r="K25" s="3" t="s">
        <v>77</v>
      </c>
      <c r="L25" t="s">
        <v>77</v>
      </c>
      <c r="M25" t="s">
        <v>77</v>
      </c>
      <c r="N25" t="s">
        <v>77</v>
      </c>
    </row>
    <row r="26" spans="1:36" x14ac:dyDescent="0.2">
      <c r="D26" t="s">
        <v>79</v>
      </c>
      <c r="E26" t="s">
        <v>80</v>
      </c>
      <c r="F26" t="s">
        <v>81</v>
      </c>
      <c r="G26" t="s">
        <v>82</v>
      </c>
      <c r="H26" s="3" t="s">
        <v>44</v>
      </c>
      <c r="I26" t="s">
        <v>44</v>
      </c>
      <c r="J26" t="s">
        <v>45</v>
      </c>
      <c r="K26" s="3" t="s">
        <v>46</v>
      </c>
      <c r="L26" t="s">
        <v>47</v>
      </c>
      <c r="M26" t="s">
        <v>83</v>
      </c>
      <c r="N26" t="s">
        <v>84</v>
      </c>
    </row>
    <row r="27" spans="1:36" x14ac:dyDescent="0.2">
      <c r="A27" t="s">
        <v>73</v>
      </c>
      <c r="B27" t="e">
        <f ca="1">IF(OR(AE15="発注OK",AE14="発注OK"),"発注","-")</f>
        <v>#VALUE!</v>
      </c>
      <c r="C27" t="e">
        <f ca="1">IF(B27="発注",[1]!freplaceorder(D27,E27,F27,G27,H27,I27,J27,K27,L27,M27,N27))</f>
        <v>#VALUE!</v>
      </c>
      <c r="D27" t="str">
        <f>+W21</f>
        <v>***END***</v>
      </c>
      <c r="E27">
        <v>0</v>
      </c>
      <c r="F27">
        <v>0</v>
      </c>
      <c r="G27">
        <v>1</v>
      </c>
      <c r="H27" s="3">
        <v>0</v>
      </c>
      <c r="I27">
        <v>1</v>
      </c>
      <c r="K27" s="3" t="s">
        <v>105</v>
      </c>
      <c r="L27" t="s">
        <v>104</v>
      </c>
      <c r="W27" t="s">
        <v>56</v>
      </c>
    </row>
    <row r="30" spans="1:36" ht="18.75" customHeight="1" x14ac:dyDescent="0.2"/>
    <row r="41" spans="28:28" x14ac:dyDescent="0.2">
      <c r="AB41" s="17"/>
    </row>
  </sheetData>
  <mergeCells count="1">
    <mergeCell ref="W8:AD8"/>
  </mergeCells>
  <phoneticPr fontId="3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"/>
  <sheetData/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2017-05-23T14:17:20Z</dcterms:modified>
</cp:coreProperties>
</file>