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 codeName="{AE6600E7-7A62-396C-DE95-9942FA9DD81E}"/>
  <workbookPr filterPrivacy="1" codeName="ThisWorkbook"/>
  <xr:revisionPtr revIDLastSave="0" documentId="8_{C25EAB52-381D-497C-B074-34E96F90625B}" xr6:coauthVersionLast="47" xr6:coauthVersionMax="47" xr10:uidLastSave="{00000000-0000-0000-0000-000000000000}"/>
  <bookViews>
    <workbookView xWindow="1750" yWindow="710" windowWidth="15130" windowHeight="9820" tabRatio="670" firstSheet="6" activeTab="7" xr2:uid="{00000000-000D-0000-FFFF-FFFF00000000}"/>
  </bookViews>
  <sheets>
    <sheet name="クォート" sheetId="5" r:id="rId1"/>
    <sheet name="板" sheetId="6" r:id="rId2"/>
    <sheet name="四本値" sheetId="7" r:id="rId3"/>
    <sheet name="歩み値" sheetId="8" r:id="rId4"/>
    <sheet name="注文照会" sheetId="9" r:id="rId5"/>
    <sheet name="約定一覧" sheetId="11" r:id="rId6"/>
    <sheet name="保有(手動)" sheetId="13" r:id="rId7"/>
    <sheet name="注文管理画面" sheetId="14" r:id="rId8"/>
    <sheet name="注文" sheetId="12" r:id="rId9"/>
    <sheet name="trailorder" sheetId="16" r:id="rId10"/>
    <sheet name="買実行" sheetId="17" r:id="rId11"/>
    <sheet name="確認画面省略機能のご利用について" sheetId="15" r:id="rId12"/>
  </sheets>
  <externalReferences>
    <externalReference r:id="rId13"/>
  </externalReferences>
  <definedNames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6" l="1"/>
  <c r="E5" i="16" a="1"/>
  <c r="E5" i="16" s="1"/>
  <c r="F5" i="16" a="1"/>
  <c r="F5" i="16" s="1"/>
  <c r="G5" i="16" a="1"/>
  <c r="G5" i="16" s="1"/>
  <c r="H5" i="16" a="1"/>
  <c r="H5" i="16" s="1"/>
  <c r="D8" i="16" a="1"/>
  <c r="D8" i="16" s="1"/>
  <c r="E8" i="16" a="1"/>
  <c r="E8" i="16" s="1"/>
  <c r="F8" i="16" a="1"/>
  <c r="F8" i="16" s="1"/>
  <c r="G8" i="16" a="1"/>
  <c r="G8" i="16" s="1"/>
  <c r="G23" i="16" s="1"/>
  <c r="H8" i="16" a="1"/>
  <c r="H8" i="16" s="1"/>
  <c r="H23" i="16" s="1"/>
  <c r="D9" i="16" a="1"/>
  <c r="D9" i="16" s="1"/>
  <c r="E9" i="16" a="1"/>
  <c r="E9" i="16" s="1"/>
  <c r="E15" i="16" s="1"/>
  <c r="F9" i="16" a="1"/>
  <c r="F9" i="16" s="1"/>
  <c r="F15" i="16" s="1"/>
  <c r="G9" i="16" a="1"/>
  <c r="G9" i="16" s="1"/>
  <c r="G15" i="16" s="1"/>
  <c r="H9" i="16" a="1"/>
  <c r="H9" i="16" s="1"/>
  <c r="D10" i="16" a="1"/>
  <c r="D10" i="16" s="1"/>
  <c r="E10" i="16" a="1"/>
  <c r="E10" i="16" s="1"/>
  <c r="F10" i="16" a="1"/>
  <c r="F10" i="16" s="1"/>
  <c r="G10" i="16" a="1"/>
  <c r="G10" i="16" s="1"/>
  <c r="H10" i="16" a="1"/>
  <c r="H10" i="16" s="1"/>
  <c r="D26" i="16"/>
  <c r="E26" i="16"/>
  <c r="F26" i="16"/>
  <c r="G26" i="16"/>
  <c r="H26" i="16"/>
  <c r="D31" i="16"/>
  <c r="E31" i="16"/>
  <c r="F31" i="16"/>
  <c r="G31" i="16"/>
  <c r="H31" i="16"/>
  <c r="H19" i="16" l="1"/>
  <c r="D16" i="16"/>
  <c r="D22" i="16"/>
  <c r="D19" i="16"/>
  <c r="D21" i="16"/>
  <c r="D23" i="16"/>
  <c r="F12" i="16"/>
  <c r="F19" i="16"/>
  <c r="F23" i="16"/>
  <c r="H21" i="16"/>
  <c r="H16" i="16"/>
  <c r="G19" i="16"/>
  <c r="E22" i="16"/>
  <c r="E16" i="16"/>
  <c r="E19" i="16"/>
  <c r="E21" i="16"/>
  <c r="E23" i="16"/>
  <c r="E12" i="16"/>
  <c r="D12" i="16"/>
  <c r="D15" i="16"/>
  <c r="H12" i="16"/>
  <c r="H15" i="16"/>
  <c r="G21" i="16"/>
  <c r="F21" i="16"/>
  <c r="H22" i="16"/>
  <c r="G16" i="16"/>
  <c r="G22" i="16"/>
  <c r="F16" i="16"/>
  <c r="F22" i="16"/>
  <c r="G12" i="16"/>
  <c r="E24" i="16" l="1"/>
  <c r="H24" i="16"/>
  <c r="F24" i="16"/>
  <c r="D24" i="16"/>
  <c r="G24" i="16"/>
  <c r="Z7" i="11" l="1"/>
  <c r="Y7" i="11"/>
  <c r="Z6" i="11"/>
  <c r="Y6" i="11"/>
  <c r="Z5" i="11"/>
  <c r="Y5" i="11"/>
  <c r="Z4" i="11"/>
  <c r="Y4" i="11"/>
  <c r="B7" i="5"/>
  <c r="G9" i="5"/>
  <c r="R1" i="9"/>
  <c r="G45" i="14"/>
  <c r="M4" i="7"/>
  <c r="V1" i="11"/>
  <c r="B4" i="6"/>
  <c r="E1" i="9"/>
  <c r="N4" i="8"/>
  <c r="I1" i="13"/>
  <c r="J45" i="14"/>
  <c r="G3" i="5"/>
  <c r="S26" i="14"/>
  <c r="F26" i="14"/>
  <c r="M45" i="14"/>
  <c r="H45" i="14"/>
  <c r="D2" i="5"/>
  <c r="C20" i="6"/>
  <c r="U1" i="9"/>
  <c r="B9" i="5"/>
  <c r="G26" i="14"/>
  <c r="N9" i="8"/>
  <c r="E1" i="13"/>
  <c r="J1" i="11"/>
  <c r="C11" i="6"/>
  <c r="E26" i="14"/>
  <c r="C1" i="11"/>
  <c r="E3" i="6"/>
  <c r="X1" i="9"/>
  <c r="E10" i="5"/>
  <c r="T1" i="9"/>
  <c r="C9" i="6"/>
  <c r="A13" i="6"/>
  <c r="E5" i="6"/>
  <c r="D4" i="5"/>
  <c r="D18" i="6"/>
  <c r="L26" i="14"/>
  <c r="E15" i="6"/>
  <c r="Q45" i="14"/>
  <c r="I45" i="14"/>
  <c r="R26" i="14"/>
  <c r="D1" i="13"/>
  <c r="D3" i="6"/>
  <c r="F13" i="5"/>
  <c r="D21" i="6"/>
  <c r="W26" i="14"/>
  <c r="T1" i="11"/>
  <c r="B16" i="5"/>
  <c r="G1" i="9"/>
  <c r="O1" i="9"/>
  <c r="E12" i="6"/>
  <c r="A14" i="6"/>
  <c r="M6" i="7"/>
  <c r="C19" i="6"/>
  <c r="D9" i="6"/>
  <c r="F1" i="11"/>
  <c r="A13" i="5"/>
  <c r="C21" i="6"/>
  <c r="L1" i="11"/>
  <c r="D13" i="6"/>
  <c r="M1" i="11"/>
  <c r="T45" i="14"/>
  <c r="J3" i="14"/>
  <c r="V26" i="14"/>
  <c r="V45" i="14"/>
  <c r="D14" i="6"/>
  <c r="A12" i="6"/>
  <c r="F8" i="5"/>
  <c r="C17" i="6"/>
  <c r="A12" i="5"/>
  <c r="A11" i="6"/>
  <c r="N1" i="13"/>
  <c r="A21" i="6"/>
  <c r="A1" i="9"/>
  <c r="S1" i="9"/>
  <c r="D1" i="11"/>
  <c r="E19" i="6"/>
  <c r="D22" i="6"/>
  <c r="F12" i="5"/>
  <c r="K26" i="14"/>
  <c r="P1" i="9"/>
  <c r="E13" i="6"/>
  <c r="C18" i="6"/>
  <c r="M7" i="7"/>
  <c r="O26" i="14"/>
  <c r="S1" i="11"/>
  <c r="D20" i="6"/>
  <c r="B5" i="6"/>
  <c r="H1" i="13"/>
  <c r="G5" i="5"/>
  <c r="A8" i="6"/>
  <c r="H1" i="9"/>
  <c r="R1" i="11"/>
  <c r="L1" i="9"/>
  <c r="A19" i="6"/>
  <c r="B12" i="5"/>
  <c r="E18" i="6"/>
  <c r="D10" i="5"/>
  <c r="A3" i="12"/>
  <c r="G8" i="5"/>
  <c r="E16" i="6"/>
  <c r="C13" i="6"/>
  <c r="D13" i="5"/>
  <c r="B5" i="5"/>
  <c r="E11" i="6"/>
  <c r="E21" i="6"/>
  <c r="E17" i="6"/>
  <c r="S1" i="13"/>
  <c r="L45" i="14"/>
  <c r="F1" i="9"/>
  <c r="A23" i="6"/>
  <c r="C10" i="6"/>
  <c r="W1" i="11"/>
  <c r="D16" i="6"/>
  <c r="D9" i="5"/>
  <c r="A38" i="12"/>
  <c r="K1" i="11"/>
  <c r="R45" i="14"/>
  <c r="N26" i="14"/>
  <c r="A1" i="13"/>
  <c r="P45" i="14"/>
  <c r="A28" i="12"/>
  <c r="D10" i="6"/>
  <c r="U45" i="14"/>
  <c r="C8" i="5"/>
  <c r="C1" i="13"/>
  <c r="C14" i="6"/>
  <c r="J1" i="13"/>
  <c r="D16" i="5"/>
  <c r="C1" i="9"/>
  <c r="I26" i="14"/>
  <c r="E3" i="5"/>
  <c r="D12" i="5"/>
  <c r="N3" i="8"/>
  <c r="A26" i="14"/>
  <c r="A15" i="6"/>
  <c r="K1" i="9"/>
  <c r="J1" i="9"/>
  <c r="V1" i="9"/>
  <c r="C7" i="5"/>
  <c r="A3" i="14"/>
  <c r="D12" i="6"/>
  <c r="M2" i="7"/>
  <c r="C8" i="6"/>
  <c r="F9" i="5"/>
  <c r="N45" i="14"/>
  <c r="H1" i="11"/>
  <c r="V1" i="13"/>
  <c r="C15" i="6"/>
  <c r="L1" i="13"/>
  <c r="D8" i="5"/>
  <c r="A17" i="6"/>
  <c r="B1" i="11"/>
  <c r="E7" i="6"/>
  <c r="D23" i="6"/>
  <c r="N2" i="8"/>
  <c r="D11" i="6"/>
  <c r="N1" i="8"/>
  <c r="M1" i="13"/>
  <c r="M5" i="7"/>
  <c r="U1" i="13"/>
  <c r="D15" i="6"/>
  <c r="E23" i="6"/>
  <c r="T1" i="13"/>
  <c r="P1" i="11"/>
  <c r="A9" i="6"/>
  <c r="E9" i="5"/>
  <c r="E22" i="6"/>
  <c r="O1" i="11"/>
  <c r="B13" i="5"/>
  <c r="D3" i="5"/>
  <c r="I1" i="11"/>
  <c r="B26" i="14"/>
  <c r="A10" i="6"/>
  <c r="S45" i="14"/>
  <c r="A20" i="6"/>
  <c r="T26" i="14"/>
  <c r="D45" i="14"/>
  <c r="C10" i="5"/>
  <c r="D26" i="14"/>
  <c r="C12" i="6"/>
  <c r="B1" i="13"/>
  <c r="X1" i="11"/>
  <c r="E9" i="6"/>
  <c r="N1" i="11"/>
  <c r="C26" i="14"/>
  <c r="F7" i="5"/>
  <c r="A15" i="5"/>
  <c r="G1" i="11"/>
  <c r="M1" i="7"/>
  <c r="C2" i="6"/>
  <c r="A16" i="6"/>
  <c r="U26" i="14"/>
  <c r="D8" i="6"/>
  <c r="B8" i="5"/>
  <c r="E1" i="11"/>
  <c r="K1" i="13"/>
  <c r="B4" i="5"/>
  <c r="B15" i="5"/>
  <c r="E8" i="6"/>
  <c r="E7" i="5"/>
  <c r="G1" i="13"/>
  <c r="Q1" i="13"/>
  <c r="A1" i="11"/>
  <c r="U1" i="11"/>
  <c r="F1" i="13"/>
  <c r="I1" i="9"/>
  <c r="K45" i="14"/>
  <c r="J26" i="14"/>
  <c r="W1" i="9"/>
  <c r="E10" i="6"/>
  <c r="M8" i="7"/>
  <c r="D19" i="6"/>
  <c r="A16" i="5"/>
  <c r="N1" i="9"/>
  <c r="Q26" i="14"/>
  <c r="A18" i="6"/>
  <c r="C7" i="6"/>
  <c r="H26" i="14"/>
  <c r="C23" i="6"/>
  <c r="C16" i="6"/>
  <c r="F16" i="5"/>
  <c r="O1" i="13"/>
  <c r="N7" i="8"/>
  <c r="R1" i="13"/>
  <c r="M26" i="14"/>
  <c r="P26" i="14"/>
  <c r="E14" i="6"/>
  <c r="G7" i="5"/>
  <c r="B10" i="5"/>
  <c r="F3" i="14"/>
  <c r="N8" i="8"/>
  <c r="N5" i="8"/>
  <c r="B3" i="5"/>
  <c r="X26" i="14"/>
  <c r="M1" i="9"/>
  <c r="C22" i="6"/>
  <c r="G4" i="5"/>
  <c r="D1" i="9"/>
  <c r="F15" i="5"/>
  <c r="Q1" i="11"/>
  <c r="F45" i="14"/>
  <c r="Q1" i="9"/>
  <c r="B1" i="9"/>
  <c r="A22" i="6"/>
  <c r="E45" i="14"/>
  <c r="D7" i="5"/>
  <c r="C45" i="14"/>
  <c r="N6" i="8"/>
  <c r="D5" i="5"/>
  <c r="D15" i="5"/>
  <c r="C9" i="5"/>
  <c r="E8" i="5"/>
  <c r="E20" i="6"/>
  <c r="D17" i="6"/>
  <c r="M3" i="7"/>
  <c r="P1" i="13"/>
  <c r="O45" i="14"/>
  <c r="B59" i="14" l="1"/>
  <c r="A59" i="14"/>
  <c r="B58" i="14"/>
  <c r="A58" i="14"/>
  <c r="B56" i="14"/>
  <c r="A56" i="14"/>
  <c r="B55" i="14"/>
  <c r="A55" i="14"/>
  <c r="B54" i="14"/>
  <c r="A54" i="14"/>
  <c r="B53" i="14"/>
  <c r="A53" i="14"/>
  <c r="B52" i="14"/>
  <c r="A52" i="14"/>
  <c r="B51" i="14"/>
  <c r="A51" i="14"/>
  <c r="B50" i="14"/>
  <c r="A50" i="14"/>
  <c r="B49" i="14"/>
  <c r="A49" i="14"/>
  <c r="B48" i="14"/>
  <c r="A48" i="14"/>
  <c r="Z50" i="11" l="1"/>
  <c r="Y50" i="11"/>
  <c r="Z49" i="11"/>
  <c r="Y49" i="11"/>
  <c r="Z48" i="11"/>
  <c r="Y48" i="11"/>
  <c r="Z47" i="11"/>
  <c r="Y47" i="11"/>
  <c r="Z46" i="11"/>
  <c r="Y46" i="11"/>
  <c r="Z45" i="11"/>
  <c r="Y45" i="11"/>
  <c r="Z44" i="11"/>
  <c r="Y44" i="11"/>
  <c r="Z43" i="11"/>
  <c r="Y43" i="11"/>
  <c r="Z42" i="11"/>
  <c r="Y42" i="11"/>
  <c r="Z41" i="11"/>
  <c r="Y41" i="11"/>
  <c r="Z40" i="11"/>
  <c r="Y40" i="11"/>
  <c r="Z39" i="11"/>
  <c r="Y39" i="11"/>
  <c r="Z38" i="11"/>
  <c r="Y38" i="11"/>
  <c r="Z37" i="11"/>
  <c r="Y37" i="11"/>
  <c r="Z36" i="11"/>
  <c r="Y36" i="11"/>
  <c r="Z35" i="11"/>
  <c r="Y35" i="11"/>
  <c r="Z34" i="11"/>
  <c r="Y34" i="11"/>
  <c r="Z33" i="11"/>
  <c r="Y33" i="11"/>
  <c r="Z32" i="11"/>
  <c r="Y32" i="11"/>
  <c r="Z31" i="11"/>
  <c r="Y31" i="11"/>
  <c r="Z30" i="11"/>
  <c r="Y30" i="11"/>
  <c r="Z29" i="11"/>
  <c r="Y29" i="11"/>
  <c r="Z28" i="11"/>
  <c r="Y28" i="11"/>
  <c r="Z27" i="11"/>
  <c r="Y27" i="11"/>
  <c r="Z26" i="11"/>
  <c r="Y26" i="11"/>
  <c r="Z25" i="11"/>
  <c r="Y25" i="11"/>
  <c r="Z24" i="11"/>
  <c r="Y24" i="11"/>
  <c r="Z23" i="11"/>
  <c r="Y23" i="11"/>
  <c r="Z22" i="11"/>
  <c r="Y22" i="11"/>
  <c r="Z21" i="11"/>
  <c r="Y21" i="11"/>
  <c r="Z20" i="11"/>
  <c r="Y20" i="11"/>
  <c r="Z19" i="11"/>
  <c r="Y19" i="11"/>
  <c r="Z18" i="11"/>
  <c r="Y18" i="11"/>
  <c r="Z17" i="11"/>
  <c r="Y17" i="11"/>
  <c r="Z16" i="11"/>
  <c r="Y16" i="11"/>
  <c r="Z15" i="11"/>
  <c r="Y15" i="11"/>
  <c r="Z14" i="11"/>
  <c r="Y14" i="11"/>
  <c r="Z13" i="11"/>
  <c r="Y13" i="11"/>
  <c r="Z12" i="11"/>
  <c r="Y12" i="11"/>
  <c r="Z11" i="11"/>
  <c r="Y11" i="11"/>
  <c r="Z10" i="11"/>
  <c r="Y10" i="11"/>
  <c r="Z9" i="11"/>
  <c r="Y9" i="11"/>
  <c r="Z8" i="11"/>
  <c r="Y8" i="11"/>
  <c r="N1" i="14" l="1"/>
  <c r="O1" i="14"/>
  <c r="R19" i="14"/>
  <c r="Q17" i="14"/>
  <c r="P21" i="14"/>
  <c r="O2" i="14"/>
  <c r="N13" i="14"/>
  <c r="O4" i="14"/>
  <c r="N14" i="14"/>
  <c r="P16" i="14"/>
  <c r="R11" i="14"/>
  <c r="N10" i="14"/>
  <c r="N11" i="14"/>
  <c r="Q16" i="14"/>
  <c r="R6" i="14"/>
  <c r="R12" i="14"/>
  <c r="P20" i="14"/>
  <c r="R13" i="14"/>
  <c r="Q22" i="14"/>
  <c r="Q8" i="14"/>
  <c r="P1" i="14"/>
  <c r="P13" i="14"/>
  <c r="N22" i="14"/>
  <c r="R8" i="14"/>
  <c r="P8" i="14"/>
  <c r="Q14" i="14"/>
  <c r="R9" i="14"/>
  <c r="R21" i="14"/>
  <c r="N18" i="14"/>
  <c r="Q10" i="14"/>
  <c r="R7" i="14"/>
  <c r="R15" i="14"/>
  <c r="R20" i="14"/>
  <c r="P6" i="14"/>
  <c r="P22" i="14"/>
  <c r="N19" i="14"/>
  <c r="N16" i="14"/>
  <c r="R14" i="14"/>
  <c r="N20" i="14"/>
  <c r="N12" i="14"/>
  <c r="N21" i="14"/>
  <c r="Q15" i="14"/>
  <c r="R18" i="14"/>
  <c r="Q2" i="14"/>
  <c r="R2" i="14"/>
  <c r="P14" i="14"/>
  <c r="R4" i="14"/>
  <c r="N17" i="14"/>
  <c r="Q21" i="14"/>
  <c r="P18" i="14"/>
  <c r="P9" i="14"/>
  <c r="P17" i="14"/>
  <c r="Q11" i="14"/>
  <c r="Q13" i="14"/>
  <c r="Q18" i="14"/>
  <c r="R22" i="14"/>
  <c r="P19" i="14"/>
  <c r="N8" i="14"/>
  <c r="N9" i="14"/>
  <c r="P11" i="14"/>
  <c r="Q12" i="14"/>
  <c r="N15" i="14"/>
  <c r="R17" i="14"/>
  <c r="P15" i="14"/>
  <c r="Q19" i="14"/>
  <c r="Q20" i="14"/>
  <c r="O3" i="14"/>
  <c r="R16" i="14"/>
  <c r="R10" i="14"/>
  <c r="Q7" i="14"/>
  <c r="N7" i="14"/>
  <c r="P10" i="14"/>
  <c r="Q9" i="14"/>
  <c r="P7" i="14"/>
  <c r="P12" i="14"/>
  <c r="B57" i="14" l="1"/>
  <c r="A57" i="14"/>
  <c r="L21" i="14"/>
  <c r="L17" i="14"/>
  <c r="L16" i="14"/>
  <c r="L15" i="14"/>
  <c r="H21" i="14"/>
  <c r="H20" i="14"/>
  <c r="H19" i="14"/>
  <c r="H17" i="14"/>
  <c r="H16" i="14"/>
  <c r="H15" i="14"/>
  <c r="H11" i="14"/>
  <c r="H10" i="14"/>
  <c r="H9" i="14"/>
  <c r="P4" i="14" l="1"/>
  <c r="C5" i="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<sst xmlns="http://schemas.openxmlformats.org/spreadsheetml/2006/main" count="2367" uniqueCount="552">
  <si>
    <t>クォート</t>
    <phoneticPr fontId="3"/>
  </si>
  <si>
    <t>現在値</t>
    <rPh sb="0" eb="2">
      <t>ゲンザイ</t>
    </rPh>
    <rPh sb="2" eb="3">
      <t>ネ</t>
    </rPh>
    <phoneticPr fontId="3"/>
  </si>
  <si>
    <t>前日比</t>
    <rPh sb="0" eb="3">
      <t>ゼンジツヒ</t>
    </rPh>
    <phoneticPr fontId="3"/>
  </si>
  <si>
    <t>出来高</t>
    <rPh sb="0" eb="3">
      <t>デキダカ</t>
    </rPh>
    <phoneticPr fontId="3"/>
  </si>
  <si>
    <t>売買代金</t>
    <rPh sb="0" eb="2">
      <t>バイバイ</t>
    </rPh>
    <rPh sb="2" eb="4">
      <t>ダイキン</t>
    </rPh>
    <phoneticPr fontId="3"/>
  </si>
  <si>
    <t>前日終値</t>
    <rPh sb="0" eb="2">
      <t>ゼンジツ</t>
    </rPh>
    <rPh sb="2" eb="4">
      <t>オワリネ</t>
    </rPh>
    <phoneticPr fontId="3"/>
  </si>
  <si>
    <t>日通し</t>
    <rPh sb="0" eb="1">
      <t>ヒ</t>
    </rPh>
    <rPh sb="1" eb="2">
      <t>ドオ</t>
    </rPh>
    <phoneticPr fontId="3"/>
  </si>
  <si>
    <t>始値</t>
    <rPh sb="0" eb="1">
      <t>ハジメ</t>
    </rPh>
    <rPh sb="1" eb="2">
      <t>ネ</t>
    </rPh>
    <phoneticPr fontId="3"/>
  </si>
  <si>
    <t>高値</t>
    <rPh sb="0" eb="2">
      <t>タカネ</t>
    </rPh>
    <phoneticPr fontId="3"/>
  </si>
  <si>
    <t>安値</t>
    <rPh sb="0" eb="2">
      <t>ヤスネ</t>
    </rPh>
    <phoneticPr fontId="3"/>
  </si>
  <si>
    <t>終値</t>
    <rPh sb="0" eb="2">
      <t>オワリネ</t>
    </rPh>
    <phoneticPr fontId="3"/>
  </si>
  <si>
    <t>値幅</t>
    <rPh sb="0" eb="2">
      <t>ネハバ</t>
    </rPh>
    <phoneticPr fontId="3"/>
  </si>
  <si>
    <t>上場来高値</t>
    <rPh sb="0" eb="2">
      <t>ジョウジョウ</t>
    </rPh>
    <rPh sb="2" eb="3">
      <t>ライ</t>
    </rPh>
    <rPh sb="3" eb="5">
      <t>タカネ</t>
    </rPh>
    <phoneticPr fontId="3"/>
  </si>
  <si>
    <t>最良気配</t>
    <rPh sb="0" eb="2">
      <t>サイリョウ</t>
    </rPh>
    <rPh sb="2" eb="4">
      <t>ケハイ</t>
    </rPh>
    <phoneticPr fontId="3"/>
  </si>
  <si>
    <t>上場来安値</t>
    <rPh sb="0" eb="2">
      <t>ジョウジョウ</t>
    </rPh>
    <rPh sb="2" eb="3">
      <t>ライ</t>
    </rPh>
    <rPh sb="3" eb="5">
      <t>ヤスネ</t>
    </rPh>
    <phoneticPr fontId="3"/>
  </si>
  <si>
    <t>板</t>
    <rPh sb="0" eb="1">
      <t>イタ</t>
    </rPh>
    <phoneticPr fontId="3"/>
  </si>
  <si>
    <t>前日比（率）</t>
    <rPh sb="0" eb="2">
      <t>ゼンジツ</t>
    </rPh>
    <rPh sb="2" eb="3">
      <t>ヒ</t>
    </rPh>
    <rPh sb="4" eb="5">
      <t>リツ</t>
    </rPh>
    <phoneticPr fontId="3"/>
  </si>
  <si>
    <t>売</t>
    <rPh sb="0" eb="1">
      <t>バイ</t>
    </rPh>
    <phoneticPr fontId="3"/>
  </si>
  <si>
    <t>強度</t>
    <rPh sb="0" eb="2">
      <t>キョウド</t>
    </rPh>
    <phoneticPr fontId="3"/>
  </si>
  <si>
    <t>買</t>
    <rPh sb="0" eb="1">
      <t>バイ</t>
    </rPh>
    <phoneticPr fontId="3"/>
  </si>
  <si>
    <t>出来高</t>
  </si>
  <si>
    <t>売気配</t>
  </si>
  <si>
    <t>価格</t>
  </si>
  <si>
    <t>買気配</t>
  </si>
  <si>
    <t>成行</t>
  </si>
  <si>
    <t>四本値</t>
    <rPh sb="0" eb="1">
      <t>ヨン</t>
    </rPh>
    <rPh sb="1" eb="2">
      <t>ホン</t>
    </rPh>
    <rPh sb="2" eb="3">
      <t>ネ</t>
    </rPh>
    <phoneticPr fontId="3"/>
  </si>
  <si>
    <t>引数</t>
    <rPh sb="0" eb="2">
      <t>ヒキスウ</t>
    </rPh>
    <phoneticPr fontId="3"/>
  </si>
  <si>
    <t>市場コード</t>
    <rPh sb="0" eb="2">
      <t>シジョウ</t>
    </rPh>
    <phoneticPr fontId="3"/>
  </si>
  <si>
    <t>取引日付</t>
    <rPh sb="0" eb="2">
      <t>トリヒキ</t>
    </rPh>
    <rPh sb="2" eb="4">
      <t>ヒヅケ</t>
    </rPh>
    <phoneticPr fontId="3"/>
  </si>
  <si>
    <t>約定時刻</t>
    <rPh sb="0" eb="2">
      <t>ヤクジョウ</t>
    </rPh>
    <rPh sb="2" eb="4">
      <t>ジコク</t>
    </rPh>
    <phoneticPr fontId="3"/>
  </si>
  <si>
    <t>始値</t>
    <rPh sb="0" eb="1">
      <t>ハジ</t>
    </rPh>
    <rPh sb="1" eb="2">
      <t>チ</t>
    </rPh>
    <phoneticPr fontId="3"/>
  </si>
  <si>
    <t>足種別</t>
    <rPh sb="0" eb="1">
      <t>アシ</t>
    </rPh>
    <rPh sb="1" eb="3">
      <t>シュベツ</t>
    </rPh>
    <phoneticPr fontId="3"/>
  </si>
  <si>
    <t>取得期間</t>
    <rPh sb="0" eb="2">
      <t>シュトク</t>
    </rPh>
    <rPh sb="2" eb="4">
      <t>キカン</t>
    </rPh>
    <phoneticPr fontId="3"/>
  </si>
  <si>
    <t>昇順降順</t>
    <rPh sb="0" eb="2">
      <t>ショウジュン</t>
    </rPh>
    <rPh sb="2" eb="4">
      <t>コウジュン</t>
    </rPh>
    <phoneticPr fontId="3"/>
  </si>
  <si>
    <t>本数</t>
    <rPh sb="0" eb="2">
      <t>ホンスウ</t>
    </rPh>
    <phoneticPr fontId="3"/>
  </si>
  <si>
    <t>歩み値</t>
    <rPh sb="0" eb="1">
      <t>アユ</t>
    </rPh>
    <rPh sb="2" eb="3">
      <t>ネ</t>
    </rPh>
    <phoneticPr fontId="3"/>
  </si>
  <si>
    <t>時刻</t>
    <rPh sb="0" eb="2">
      <t>ジコク</t>
    </rPh>
    <phoneticPr fontId="3"/>
  </si>
  <si>
    <t>前回比</t>
    <rPh sb="0" eb="2">
      <t>ゼンカイ</t>
    </rPh>
    <rPh sb="2" eb="3">
      <t>ヒ</t>
    </rPh>
    <phoneticPr fontId="3"/>
  </si>
  <si>
    <t>累計</t>
    <rPh sb="0" eb="2">
      <t>ルイケイ</t>
    </rPh>
    <phoneticPr fontId="3"/>
  </si>
  <si>
    <t>売気配</t>
    <rPh sb="0" eb="1">
      <t>ウ</t>
    </rPh>
    <rPh sb="1" eb="3">
      <t>ケハイ</t>
    </rPh>
    <phoneticPr fontId="3"/>
  </si>
  <si>
    <t>買付強度</t>
    <rPh sb="0" eb="2">
      <t>カイツケ</t>
    </rPh>
    <rPh sb="2" eb="4">
      <t>キョウド</t>
    </rPh>
    <phoneticPr fontId="3"/>
  </si>
  <si>
    <t>買気配</t>
    <rPh sb="0" eb="1">
      <t>カ</t>
    </rPh>
    <rPh sb="1" eb="3">
      <t>ケハイ</t>
    </rPh>
    <phoneticPr fontId="3"/>
  </si>
  <si>
    <t>VWAP</t>
    <phoneticPr fontId="3"/>
  </si>
  <si>
    <t>HV</t>
    <phoneticPr fontId="3"/>
  </si>
  <si>
    <t>前場</t>
    <rPh sb="0" eb="2">
      <t>ゼンバ</t>
    </rPh>
    <phoneticPr fontId="3"/>
  </si>
  <si>
    <t>後場</t>
    <phoneticPr fontId="3"/>
  </si>
  <si>
    <t>年初来高値</t>
    <rPh sb="0" eb="3">
      <t>ネンショライ</t>
    </rPh>
    <rPh sb="3" eb="5">
      <t>タカネ</t>
    </rPh>
    <phoneticPr fontId="3"/>
  </si>
  <si>
    <t>VWAP</t>
    <phoneticPr fontId="3"/>
  </si>
  <si>
    <t>約定数量</t>
    <phoneticPr fontId="3"/>
  </si>
  <si>
    <t>配当落日/配当</t>
    <phoneticPr fontId="3"/>
  </si>
  <si>
    <t>PBR/PER</t>
    <phoneticPr fontId="3"/>
  </si>
  <si>
    <t>年初来安値</t>
    <rPh sb="0" eb="3">
      <t>ネンショライ</t>
    </rPh>
    <rPh sb="3" eb="5">
      <t>ヤスネ</t>
    </rPh>
    <phoneticPr fontId="3"/>
  </si>
  <si>
    <t>売買単位</t>
    <phoneticPr fontId="3"/>
  </si>
  <si>
    <t>市場</t>
    <rPh sb="0" eb="2">
      <t>シジョウ</t>
    </rPh>
    <phoneticPr fontId="3"/>
  </si>
  <si>
    <t>銘柄コード</t>
    <rPh sb="0" eb="2">
      <t>メイガラ</t>
    </rPh>
    <phoneticPr fontId="3"/>
  </si>
  <si>
    <t>注文番号</t>
    <rPh sb="0" eb="2">
      <t>チュウモン</t>
    </rPh>
    <rPh sb="2" eb="4">
      <t>バンゴウ</t>
    </rPh>
    <phoneticPr fontId="3"/>
  </si>
  <si>
    <t>保有照会</t>
    <rPh sb="0" eb="2">
      <t>ホユウ</t>
    </rPh>
    <rPh sb="2" eb="4">
      <t>ショウカイ</t>
    </rPh>
    <phoneticPr fontId="3"/>
  </si>
  <si>
    <t>注文</t>
    <rPh sb="0" eb="2">
      <t>チュウモン</t>
    </rPh>
    <phoneticPr fontId="3"/>
  </si>
  <si>
    <t>第1引数</t>
  </si>
  <si>
    <t>銘柄コード</t>
  </si>
  <si>
    <t>第2引数</t>
  </si>
  <si>
    <t>市場コード</t>
  </si>
  <si>
    <t>東証</t>
  </si>
  <si>
    <t>第3引数</t>
  </si>
  <si>
    <t>売買区分</t>
  </si>
  <si>
    <t>第4引数</t>
  </si>
  <si>
    <t>執行条件</t>
  </si>
  <si>
    <t>第5引数</t>
  </si>
  <si>
    <t>単価</t>
  </si>
  <si>
    <t>第6引数</t>
  </si>
  <si>
    <t>数量</t>
  </si>
  <si>
    <t>数量を指定</t>
    <rPh sb="0" eb="2">
      <t>スウリョウ</t>
    </rPh>
    <rPh sb="3" eb="5">
      <t>シテイ</t>
    </rPh>
    <phoneticPr fontId="3"/>
  </si>
  <si>
    <t>第7引数</t>
  </si>
  <si>
    <t>期間指定</t>
  </si>
  <si>
    <t>第8引数</t>
  </si>
  <si>
    <t>期間</t>
  </si>
  <si>
    <t>YYYYMMDD、当日指定、今週指定の場合は省略可能</t>
    <rPh sb="9" eb="11">
      <t>トウジツ</t>
    </rPh>
    <rPh sb="11" eb="13">
      <t>シテイ</t>
    </rPh>
    <rPh sb="14" eb="15">
      <t>イマ</t>
    </rPh>
    <rPh sb="15" eb="16">
      <t>シュウ</t>
    </rPh>
    <rPh sb="16" eb="18">
      <t>シテイ</t>
    </rPh>
    <rPh sb="19" eb="21">
      <t>バアイ</t>
    </rPh>
    <rPh sb="22" eb="24">
      <t>ショウリャク</t>
    </rPh>
    <rPh sb="24" eb="26">
      <t>カノウ</t>
    </rPh>
    <phoneticPr fontId="3"/>
  </si>
  <si>
    <t>第9引数</t>
  </si>
  <si>
    <t>預り区分</t>
  </si>
  <si>
    <t>第10引数</t>
  </si>
  <si>
    <t>0：表示あり、１：表示無し</t>
  </si>
  <si>
    <t>第11引数</t>
  </si>
  <si>
    <t>注文完了</t>
  </si>
  <si>
    <t>パスワード</t>
  </si>
  <si>
    <t>発注ID</t>
    <rPh sb="0" eb="2">
      <t>ハッチュウ</t>
    </rPh>
    <phoneticPr fontId="3"/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</si>
  <si>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3"/>
  </si>
  <si>
    <t>1：指値、2：寄指、4：引指、6：不成、0：成行、3：寄成、5：引成</t>
    <phoneticPr fontId="3"/>
  </si>
  <si>
    <t>第12引数</t>
    <phoneticPr fontId="3"/>
  </si>
  <si>
    <t>銘柄名</t>
  </si>
  <si>
    <t>執行市場</t>
  </si>
  <si>
    <t>現在値</t>
  </si>
  <si>
    <t>前日終値</t>
  </si>
  <si>
    <t>前日比</t>
  </si>
  <si>
    <t>前日比率</t>
  </si>
  <si>
    <t>注文状態</t>
  </si>
  <si>
    <t>約定状態</t>
  </si>
  <si>
    <t>売買</t>
  </si>
  <si>
    <t>平均約定単価</t>
  </si>
  <si>
    <t>手数料プラン</t>
  </si>
  <si>
    <t>信用新規注文</t>
  </si>
  <si>
    <t>建単価</t>
  </si>
  <si>
    <t>建年月日</t>
  </si>
  <si>
    <t>受付日時</t>
  </si>
  <si>
    <t>有効期間</t>
  </si>
  <si>
    <t>有効日付</t>
  </si>
  <si>
    <t>注文株数</t>
  </si>
  <si>
    <t>未約定株数</t>
  </si>
  <si>
    <t>約定株数</t>
  </si>
  <si>
    <t>注文単価</t>
  </si>
  <si>
    <t>取消可能状態</t>
  </si>
  <si>
    <t>訂正可能状態</t>
  </si>
  <si>
    <t>市場</t>
  </si>
  <si>
    <t>商品区分</t>
  </si>
  <si>
    <t>保有数量</t>
  </si>
  <si>
    <t>注文中数量</t>
  </si>
  <si>
    <t>可能数量</t>
  </si>
  <si>
    <t>約定数量</t>
  </si>
  <si>
    <t>参考単価</t>
  </si>
  <si>
    <t>取得金額</t>
  </si>
  <si>
    <t>評価金額</t>
  </si>
  <si>
    <t>評価損益額</t>
  </si>
  <si>
    <t>評価損益率</t>
  </si>
  <si>
    <t>建売買区分</t>
  </si>
  <si>
    <t>信用諸経費</t>
  </si>
  <si>
    <t>決済建玉の建単価を指定する(必須）</t>
    <rPh sb="0" eb="2">
      <t>ケッサイ</t>
    </rPh>
    <rPh sb="2" eb="3">
      <t>タ</t>
    </rPh>
    <rPh sb="3" eb="4">
      <t>ギョク</t>
    </rPh>
    <rPh sb="5" eb="6">
      <t>タ</t>
    </rPh>
    <rPh sb="6" eb="8">
      <t>タンカ</t>
    </rPh>
    <rPh sb="9" eb="11">
      <t>シテイ</t>
    </rPh>
    <rPh sb="14" eb="16">
      <t>ヒッス</t>
    </rPh>
    <phoneticPr fontId="3"/>
  </si>
  <si>
    <t>決済建玉の建日を指定する(必須）。YYYYMMDD</t>
    <rPh sb="0" eb="2">
      <t>ケッサイ</t>
    </rPh>
    <rPh sb="2" eb="3">
      <t>タ</t>
    </rPh>
    <rPh sb="3" eb="4">
      <t>ギョク</t>
    </rPh>
    <rPh sb="5" eb="6">
      <t>タ</t>
    </rPh>
    <rPh sb="6" eb="7">
      <t>ヒ</t>
    </rPh>
    <rPh sb="8" eb="10">
      <t>シテイ</t>
    </rPh>
    <rPh sb="13" eb="15">
      <t>ヒッス</t>
    </rPh>
    <phoneticPr fontId="3"/>
  </si>
  <si>
    <t>注文照会</t>
    <phoneticPr fontId="3"/>
  </si>
  <si>
    <t>現物売</t>
    <rPh sb="0" eb="2">
      <t>ゲンブツ</t>
    </rPh>
    <rPh sb="2" eb="3">
      <t>バイ</t>
    </rPh>
    <phoneticPr fontId="3"/>
  </si>
  <si>
    <t>当日約定一覧</t>
  </si>
  <si>
    <t>１：売、3：買</t>
    <rPh sb="2" eb="3">
      <t>ウ</t>
    </rPh>
    <rPh sb="6" eb="7">
      <t>カ</t>
    </rPh>
    <phoneticPr fontId="3"/>
  </si>
  <si>
    <t>T：当日のみ有効、W：今週のみ有効、O：指定日付まで有効</t>
    <rPh sb="2" eb="4">
      <t>トウジツ</t>
    </rPh>
    <rPh sb="6" eb="8">
      <t>ユウコウ</t>
    </rPh>
    <rPh sb="11" eb="13">
      <t>コンシュウ</t>
    </rPh>
    <rPh sb="15" eb="17">
      <t>ユウコウ</t>
    </rPh>
    <rPh sb="20" eb="22">
      <t>シテイ</t>
    </rPh>
    <rPh sb="22" eb="24">
      <t>ヒヅケ</t>
    </rPh>
    <rPh sb="26" eb="28">
      <t>ユウコウ</t>
    </rPh>
    <phoneticPr fontId="3"/>
  </si>
  <si>
    <t>注文画面</t>
  </si>
  <si>
    <t>現物注文</t>
    <phoneticPr fontId="3"/>
  </si>
  <si>
    <t>信用返済注文</t>
    <phoneticPr fontId="3"/>
  </si>
  <si>
    <t>取得単価</t>
    <phoneticPr fontId="3"/>
  </si>
  <si>
    <t>現在値</t>
    <phoneticPr fontId="3"/>
  </si>
  <si>
    <t>損切り発注</t>
    <rPh sb="0" eb="1">
      <t>ソン</t>
    </rPh>
    <rPh sb="1" eb="2">
      <t>ギ</t>
    </rPh>
    <rPh sb="3" eb="5">
      <t>ハッチュウ</t>
    </rPh>
    <phoneticPr fontId="3"/>
  </si>
  <si>
    <t>引数エリア</t>
    <rPh sb="0" eb="2">
      <t>ヒキスウ</t>
    </rPh>
    <phoneticPr fontId="3"/>
  </si>
  <si>
    <t>完了メッセージ</t>
    <phoneticPr fontId="3"/>
  </si>
  <si>
    <t>ソートキー</t>
    <phoneticPr fontId="3"/>
  </si>
  <si>
    <t>概算受渡金額</t>
    <rPh sb="0" eb="2">
      <t>ガイサン</t>
    </rPh>
    <rPh sb="2" eb="4">
      <t>ウケワタシ</t>
    </rPh>
    <rPh sb="4" eb="5">
      <t>キン</t>
    </rPh>
    <rPh sb="5" eb="6">
      <t>ガク</t>
    </rPh>
    <phoneticPr fontId="3"/>
  </si>
  <si>
    <t>平均約定単価</t>
    <phoneticPr fontId="3"/>
  </si>
  <si>
    <t>日本株取引パスワード</t>
    <phoneticPr fontId="3"/>
  </si>
  <si>
    <t>A</t>
    <phoneticPr fontId="3"/>
  </si>
  <si>
    <t>信用買</t>
    <rPh sb="0" eb="2">
      <t>シンヨウ</t>
    </rPh>
    <phoneticPr fontId="3"/>
  </si>
  <si>
    <t>信用売</t>
    <rPh sb="0" eb="2">
      <t>シンヨウ</t>
    </rPh>
    <phoneticPr fontId="3"/>
  </si>
  <si>
    <t>約定日付</t>
    <rPh sb="2" eb="4">
      <t>ヒヅケ</t>
    </rPh>
    <phoneticPr fontId="3"/>
  </si>
  <si>
    <t>東証</t>
    <phoneticPr fontId="3"/>
  </si>
  <si>
    <t>&lt;-注文関数の書かれてるセル</t>
    <rPh sb="2" eb="4">
      <t>チュウモン</t>
    </rPh>
    <rPh sb="4" eb="6">
      <t>カンスウ</t>
    </rPh>
    <rPh sb="7" eb="8">
      <t>カ</t>
    </rPh>
    <phoneticPr fontId="3"/>
  </si>
  <si>
    <t>第14引数</t>
  </si>
  <si>
    <t>発注条件
（逆指値）</t>
  </si>
  <si>
    <t>第15引数</t>
  </si>
  <si>
    <t>発注単価
（逆指値）</t>
  </si>
  <si>
    <t>第16引数</t>
  </si>
  <si>
    <t>注文確認省略フラグ</t>
    <rPh sb="0" eb="2">
      <t>チュウモン</t>
    </rPh>
    <rPh sb="2" eb="4">
      <t>カクニン</t>
    </rPh>
    <rPh sb="4" eb="6">
      <t>ショウリャク</t>
    </rPh>
    <phoneticPr fontId="3"/>
  </si>
  <si>
    <t>第17引数</t>
  </si>
  <si>
    <t>注意画面省略フラグ</t>
    <rPh sb="0" eb="2">
      <t>チュウイ</t>
    </rPh>
    <rPh sb="2" eb="4">
      <t>ガメン</t>
    </rPh>
    <rPh sb="4" eb="6">
      <t>ショウリャク</t>
    </rPh>
    <phoneticPr fontId="3"/>
  </si>
  <si>
    <t>執行条件が逆指値時に達成後指値価格を設定</t>
    <phoneticPr fontId="3"/>
  </si>
  <si>
    <t>1：指値、2：寄指、4：引指、6：不成、0：成行、3：寄成、5：引成、7：逆指値</t>
    <phoneticPr fontId="3"/>
  </si>
  <si>
    <t>成行の場合は0を指定、逆指値の場合は発火条件価格を指定</t>
    <phoneticPr fontId="3"/>
  </si>
  <si>
    <t>０：特定預り、１：一般預り、２：NISA預り、省略可能、省略時は特定口座開設顧客は特定預り、未開設顧客は一般預り</t>
    <phoneticPr fontId="3"/>
  </si>
  <si>
    <r>
      <t>第1</t>
    </r>
    <r>
      <rPr>
        <sz val="11"/>
        <rFont val="ＭＳ Ｐゴシック"/>
        <family val="3"/>
        <charset val="128"/>
      </rPr>
      <t>3引数</t>
    </r>
    <phoneticPr fontId="3"/>
  </si>
  <si>
    <r>
      <t>第1</t>
    </r>
    <r>
      <rPr>
        <sz val="11"/>
        <rFont val="ＭＳ Ｐゴシック"/>
        <family val="3"/>
        <charset val="128"/>
      </rPr>
      <t>5引数</t>
    </r>
    <phoneticPr fontId="3"/>
  </si>
  <si>
    <t>***END***</t>
  </si>
  <si>
    <t>現物注文</t>
    <phoneticPr fontId="3"/>
  </si>
  <si>
    <t>1：指値、2：寄指、4：引指、6：不成、0：成行、3：寄成、5：引成、7：逆指値</t>
    <phoneticPr fontId="3"/>
  </si>
  <si>
    <t>成行の場合は0を指定、逆指値の場合は発火条件価格を指定</t>
    <phoneticPr fontId="3"/>
  </si>
  <si>
    <t>T</t>
    <phoneticPr fontId="3"/>
  </si>
  <si>
    <t>第12引数</t>
    <phoneticPr fontId="3"/>
  </si>
  <si>
    <t>日本株取引パスワード</t>
    <phoneticPr fontId="3"/>
  </si>
  <si>
    <r>
      <t>第1</t>
    </r>
    <r>
      <rPr>
        <sz val="11"/>
        <rFont val="ＭＳ Ｐゴシック"/>
        <family val="3"/>
        <charset val="128"/>
      </rPr>
      <t>3引数</t>
    </r>
    <phoneticPr fontId="3"/>
  </si>
  <si>
    <t>現物注文訂正</t>
    <rPh sb="4" eb="6">
      <t>テイセイ</t>
    </rPh>
    <phoneticPr fontId="3"/>
  </si>
  <si>
    <t>現物注文取消</t>
    <rPh sb="4" eb="6">
      <t>トリケ</t>
    </rPh>
    <phoneticPr fontId="3"/>
  </si>
  <si>
    <t>訂正</t>
    <rPh sb="0" eb="2">
      <t>テイセイ</t>
    </rPh>
    <phoneticPr fontId="3"/>
  </si>
  <si>
    <t>取消</t>
    <rPh sb="0" eb="2">
      <t>トリケシ</t>
    </rPh>
    <phoneticPr fontId="3"/>
  </si>
  <si>
    <t>訂正ID</t>
    <rPh sb="0" eb="2">
      <t>テイセイ</t>
    </rPh>
    <phoneticPr fontId="3"/>
  </si>
  <si>
    <t>第1引数</t>
    <rPh sb="0" eb="1">
      <t>ダイ</t>
    </rPh>
    <rPh sb="2" eb="4">
      <t>ヒキスウ</t>
    </rPh>
    <phoneticPr fontId="3"/>
  </si>
  <si>
    <t>第2引数</t>
    <rPh sb="0" eb="1">
      <t>ダイ</t>
    </rPh>
    <rPh sb="2" eb="4">
      <t>ヒキスウ</t>
    </rPh>
    <phoneticPr fontId="3"/>
  </si>
  <si>
    <t>第3引数</t>
    <rPh sb="0" eb="1">
      <t>ダイ</t>
    </rPh>
    <rPh sb="2" eb="4">
      <t>ヒキスウ</t>
    </rPh>
    <phoneticPr fontId="3"/>
  </si>
  <si>
    <t>第4引数</t>
    <rPh sb="0" eb="1">
      <t>ダイ</t>
    </rPh>
    <rPh sb="2" eb="4">
      <t>ヒキスウ</t>
    </rPh>
    <phoneticPr fontId="3"/>
  </si>
  <si>
    <t>第5引数</t>
    <rPh sb="0" eb="1">
      <t>ダイ</t>
    </rPh>
    <rPh sb="2" eb="4">
      <t>ヒキスウ</t>
    </rPh>
    <phoneticPr fontId="3"/>
  </si>
  <si>
    <t>第6引数</t>
    <rPh sb="0" eb="1">
      <t>ダイ</t>
    </rPh>
    <rPh sb="2" eb="4">
      <t>ヒキスウ</t>
    </rPh>
    <phoneticPr fontId="3"/>
  </si>
  <si>
    <t>第7引数</t>
    <rPh sb="0" eb="1">
      <t>ダイ</t>
    </rPh>
    <rPh sb="2" eb="4">
      <t>ヒキスウ</t>
    </rPh>
    <phoneticPr fontId="3"/>
  </si>
  <si>
    <t>第8引数</t>
    <rPh sb="0" eb="1">
      <t>ダイ</t>
    </rPh>
    <rPh sb="2" eb="4">
      <t>ヒキスウ</t>
    </rPh>
    <phoneticPr fontId="3"/>
  </si>
  <si>
    <t>第9引数</t>
    <rPh sb="0" eb="1">
      <t>ダイ</t>
    </rPh>
    <rPh sb="2" eb="4">
      <t>ヒキスウ</t>
    </rPh>
    <phoneticPr fontId="3"/>
  </si>
  <si>
    <t>第10引数</t>
    <rPh sb="0" eb="1">
      <t>ダイ</t>
    </rPh>
    <rPh sb="3" eb="5">
      <t>ヒキスウ</t>
    </rPh>
    <phoneticPr fontId="3"/>
  </si>
  <si>
    <t>第11引数</t>
    <rPh sb="0" eb="1">
      <t>ダイ</t>
    </rPh>
    <rPh sb="3" eb="5">
      <t>ヒキスウ</t>
    </rPh>
    <phoneticPr fontId="3"/>
  </si>
  <si>
    <t>取消ID</t>
    <rPh sb="0" eb="2">
      <t>トリケシ</t>
    </rPh>
    <phoneticPr fontId="3"/>
  </si>
  <si>
    <t>注文確認</t>
    <rPh sb="0" eb="2">
      <t>チュウモン</t>
    </rPh>
    <rPh sb="2" eb="4">
      <t>カクニン</t>
    </rPh>
    <phoneticPr fontId="3"/>
  </si>
  <si>
    <t>保有情報</t>
    <rPh sb="0" eb="2">
      <t>ホユウ</t>
    </rPh>
    <rPh sb="2" eb="4">
      <t>ジョウホウ</t>
    </rPh>
    <phoneticPr fontId="3"/>
  </si>
  <si>
    <t>注文情報</t>
    <rPh sb="0" eb="2">
      <t>チュウモン</t>
    </rPh>
    <rPh sb="2" eb="4">
      <t>ジョウホウ</t>
    </rPh>
    <phoneticPr fontId="3"/>
  </si>
  <si>
    <t>前日比（率）</t>
    <phoneticPr fontId="3"/>
  </si>
  <si>
    <t>前日終値</t>
    <phoneticPr fontId="3"/>
  </si>
  <si>
    <t>売</t>
    <phoneticPr fontId="3"/>
  </si>
  <si>
    <t>強度</t>
    <phoneticPr fontId="3"/>
  </si>
  <si>
    <t>買</t>
    <phoneticPr fontId="3"/>
  </si>
  <si>
    <t>出来高</t>
    <phoneticPr fontId="3"/>
  </si>
  <si>
    <t>執行条件が逆指値時に達成後指値価格を設定</t>
    <phoneticPr fontId="3"/>
  </si>
  <si>
    <t>変動幅</t>
    <rPh sb="0" eb="3">
      <t>ヘンドウハバ</t>
    </rPh>
    <phoneticPr fontId="3"/>
  </si>
  <si>
    <t>上昇価格</t>
    <rPh sb="0" eb="2">
      <t>ジョウショウ</t>
    </rPh>
    <rPh sb="2" eb="4">
      <t>カカク</t>
    </rPh>
    <phoneticPr fontId="3"/>
  </si>
  <si>
    <t>下落価格</t>
    <rPh sb="0" eb="2">
      <t>ゲラク</t>
    </rPh>
    <rPh sb="2" eb="4">
      <t>カカク</t>
    </rPh>
    <phoneticPr fontId="3"/>
  </si>
  <si>
    <t>第18引数</t>
    <phoneticPr fontId="3"/>
  </si>
  <si>
    <t>注文番号表示先セル</t>
    <phoneticPr fontId="3"/>
  </si>
  <si>
    <t>純金信託</t>
  </si>
  <si>
    <t>パラジＥＴＦ</t>
  </si>
  <si>
    <t>Ｊ－夢みつけ隊</t>
  </si>
  <si>
    <t>Ｊ－大木ヘルスケア</t>
  </si>
  <si>
    <t>ファルコＨＤ</t>
  </si>
  <si>
    <t>ＳＢテクノロジー</t>
  </si>
  <si>
    <t>ニッキ</t>
  </si>
  <si>
    <t>Ｍ－ＡｐｐＢａｎｋ</t>
  </si>
  <si>
    <t>日立</t>
  </si>
  <si>
    <t>東芝</t>
  </si>
  <si>
    <t>パナソニック</t>
  </si>
  <si>
    <t>日東電</t>
  </si>
  <si>
    <t>トヨタ自</t>
  </si>
  <si>
    <t>大日印</t>
  </si>
  <si>
    <t>任天堂</t>
  </si>
  <si>
    <t>イオン</t>
  </si>
  <si>
    <t>みずほ</t>
  </si>
  <si>
    <t>岡三</t>
  </si>
  <si>
    <t>東電力ＨＤ</t>
  </si>
  <si>
    <t>ミニストップ</t>
  </si>
  <si>
    <t>ソフトバンクグループ</t>
  </si>
  <si>
    <t>現物</t>
  </si>
  <si>
    <t>信用</t>
  </si>
  <si>
    <t>特定預り</t>
  </si>
  <si>
    <t>一般預り</t>
  </si>
  <si>
    <t>8609</t>
  </si>
  <si>
    <t>800</t>
  </si>
  <si>
    <t>1,200</t>
  </si>
  <si>
    <t>200</t>
  </si>
  <si>
    <t>500</t>
  </si>
  <si>
    <t>600</t>
  </si>
  <si>
    <t>100</t>
  </si>
  <si>
    <t>買</t>
  </si>
  <si>
    <t>売</t>
  </si>
  <si>
    <t>***END***</t>
    <phoneticPr fontId="3"/>
  </si>
  <si>
    <t>可能</t>
    <phoneticPr fontId="3"/>
  </si>
  <si>
    <t>未約定</t>
    <phoneticPr fontId="3"/>
  </si>
  <si>
    <t>21/12/17 08:55</t>
    <phoneticPr fontId="3"/>
  </si>
  <si>
    <t>21/12/17 01:38</t>
    <phoneticPr fontId="3"/>
  </si>
  <si>
    <t>指値</t>
    <phoneticPr fontId="3"/>
  </si>
  <si>
    <t>成行</t>
    <phoneticPr fontId="3"/>
  </si>
  <si>
    <t>当日中</t>
    <phoneticPr fontId="3"/>
  </si>
  <si>
    <t>岡三</t>
    <phoneticPr fontId="3"/>
  </si>
  <si>
    <t>ワンショット</t>
    <phoneticPr fontId="3"/>
  </si>
  <si>
    <t>１：表示無し</t>
    <phoneticPr fontId="3"/>
  </si>
  <si>
    <t>市場は以下のように指定
　東証：東証またはT
　名証：名証またはN
　福証：福証またはF
　札証：札証またはS
省略時は優先市場へ発注</t>
    <rPh sb="0" eb="2">
      <t>シジョウ</t>
    </rPh>
    <rPh sb="3" eb="5">
      <t>イカ</t>
    </rPh>
    <rPh sb="9" eb="11">
      <t>シテイ</t>
    </rPh>
    <rPh sb="13" eb="15">
      <t>トウショウ</t>
    </rPh>
    <rPh sb="16" eb="18">
      <t>トウショウ</t>
    </rPh>
    <rPh sb="24" eb="26">
      <t>メイショウ</t>
    </rPh>
    <rPh sb="27" eb="29">
      <t>メイショウ</t>
    </rPh>
    <rPh sb="35" eb="36">
      <t>フク</t>
    </rPh>
    <rPh sb="36" eb="37">
      <t>ショウ</t>
    </rPh>
    <rPh sb="38" eb="39">
      <t>フク</t>
    </rPh>
    <rPh sb="39" eb="40">
      <t>ショウ</t>
    </rPh>
    <rPh sb="46" eb="47">
      <t>サツ</t>
    </rPh>
    <rPh sb="47" eb="48">
      <t>ショウ</t>
    </rPh>
    <rPh sb="49" eb="50">
      <t>サツ</t>
    </rPh>
    <rPh sb="50" eb="51">
      <t>ショウ</t>
    </rPh>
    <rPh sb="56" eb="58">
      <t>ショウリャク</t>
    </rPh>
    <rPh sb="58" eb="59">
      <t>ジ</t>
    </rPh>
    <rPh sb="60" eb="62">
      <t>ユウセン</t>
    </rPh>
    <rPh sb="62" eb="64">
      <t>シジョウ</t>
    </rPh>
    <rPh sb="65" eb="67">
      <t>ハッチュウ</t>
    </rPh>
    <phoneticPr fontId="3"/>
  </si>
  <si>
    <t>０：特定預り、１：一般預り、２：NISA預り、省略可能、省略時は特定口座開設顧客は特定預り、未開設顧客は一般預り</t>
    <phoneticPr fontId="3"/>
  </si>
  <si>
    <t>執行条件が逆指値の時は下記を設定。
1：指値、4：引指、6：不成、0：成行、5：引成</t>
    <phoneticPr fontId="3"/>
  </si>
  <si>
    <t>0：表示あり、１：表示無し
オプショナル引数にして、指定しない場合は、現行通りの動作</t>
    <phoneticPr fontId="3"/>
  </si>
  <si>
    <t>0：表示あり、１：注意画面を表示せず注文をキャンセル
オプショナル引数にして、指定しない場合は、注意画面を表示する</t>
    <phoneticPr fontId="3"/>
  </si>
  <si>
    <t>注文完了時に注文番号を表示するセル。
オプショナル引数にして、指定しない場合は、現行通りの動作</t>
    <phoneticPr fontId="3"/>
  </si>
  <si>
    <t>ＮＦ日経３００</t>
  </si>
  <si>
    <t>ＮＦ日経レバ</t>
  </si>
  <si>
    <t>ドバイ原油先物ブル</t>
  </si>
  <si>
    <t>デクセリアルズ</t>
  </si>
  <si>
    <t>Ｍ－地盤ネットＨＤ</t>
  </si>
  <si>
    <t>新生銀</t>
  </si>
  <si>
    <t>トモニＨＤ</t>
  </si>
  <si>
    <t>執行条件が逆指値の時は下記を設定。
 1：指値、4：引指、6：不成、0：成行、5：引成</t>
    <phoneticPr fontId="3"/>
  </si>
  <si>
    <t>可能</t>
    <phoneticPr fontId="3"/>
  </si>
  <si>
    <t>未約定</t>
    <phoneticPr fontId="3"/>
  </si>
  <si>
    <t>12/17</t>
  </si>
  <si>
    <t>成行</t>
    <phoneticPr fontId="3"/>
  </si>
  <si>
    <t>当日中</t>
  </si>
  <si>
    <t>信用新規買</t>
  </si>
  <si>
    <t>岡三</t>
    <phoneticPr fontId="3"/>
  </si>
  <si>
    <t>***END***</t>
    <phoneticPr fontId="3"/>
  </si>
  <si>
    <t>ワンショット</t>
  </si>
  <si>
    <t>ワンショット</t>
    <phoneticPr fontId="3"/>
  </si>
  <si>
    <t>21/12/17 12:38</t>
    <phoneticPr fontId="3"/>
  </si>
  <si>
    <t>信用取引区分</t>
    <rPh sb="0" eb="2">
      <t>シンヨウ</t>
    </rPh>
    <rPh sb="2" eb="4">
      <t>トリヒキ</t>
    </rPh>
    <rPh sb="4" eb="6">
      <t>クブン</t>
    </rPh>
    <phoneticPr fontId="3"/>
  </si>
  <si>
    <t>0：制度（6ヶ月）、1：一般（無期限）、省略可能、省略時は制度（6ヶ月）</t>
    <phoneticPr fontId="3"/>
  </si>
  <si>
    <t>21/12/17 12:40</t>
  </si>
  <si>
    <t>***END***</t>
    <phoneticPr fontId="3"/>
  </si>
  <si>
    <t>全部約定</t>
  </si>
  <si>
    <t>全部約定</t>
    <phoneticPr fontId="3"/>
  </si>
  <si>
    <t>***END***</t>
    <phoneticPr fontId="3"/>
  </si>
  <si>
    <t>ワンショット</t>
    <phoneticPr fontId="3"/>
  </si>
  <si>
    <t>特定預り</t>
    <phoneticPr fontId="3"/>
  </si>
  <si>
    <t>不可能</t>
  </si>
  <si>
    <t>東証</t>
    <phoneticPr fontId="3"/>
  </si>
  <si>
    <t>信用新規買</t>
    <phoneticPr fontId="3"/>
  </si>
  <si>
    <t>成行</t>
    <phoneticPr fontId="3"/>
  </si>
  <si>
    <t>岡三</t>
    <phoneticPr fontId="3"/>
  </si>
  <si>
    <t>完了</t>
  </si>
  <si>
    <t>可能</t>
    <phoneticPr fontId="3"/>
  </si>
  <si>
    <t>不可能</t>
    <phoneticPr fontId="3"/>
  </si>
  <si>
    <t>全部約定</t>
    <phoneticPr fontId="3"/>
  </si>
  <si>
    <t>純金信託</t>
    <phoneticPr fontId="3"/>
  </si>
  <si>
    <t>パラジＥＴＦ</t>
    <phoneticPr fontId="3"/>
  </si>
  <si>
    <t>Ｊ－夢みつけ隊</t>
    <phoneticPr fontId="3"/>
  </si>
  <si>
    <t>Ｊ－大木ヘルスケア</t>
    <phoneticPr fontId="3"/>
  </si>
  <si>
    <t>ファルコＨＤ</t>
    <phoneticPr fontId="3"/>
  </si>
  <si>
    <t>デクセリアルズ</t>
    <phoneticPr fontId="3"/>
  </si>
  <si>
    <t>Ｍ－ＡｐｐＢａｎｋ</t>
    <phoneticPr fontId="3"/>
  </si>
  <si>
    <t>東芝</t>
    <phoneticPr fontId="3"/>
  </si>
  <si>
    <t>パナソニック</t>
    <phoneticPr fontId="3"/>
  </si>
  <si>
    <t>日東電</t>
    <phoneticPr fontId="3"/>
  </si>
  <si>
    <t>トヨタ自</t>
    <phoneticPr fontId="3"/>
  </si>
  <si>
    <t>任天堂</t>
    <phoneticPr fontId="3"/>
  </si>
  <si>
    <t>みずほ</t>
    <phoneticPr fontId="3"/>
  </si>
  <si>
    <t>岡三</t>
    <phoneticPr fontId="3"/>
  </si>
  <si>
    <t>ソフトバンクグループ</t>
    <phoneticPr fontId="3"/>
  </si>
  <si>
    <t>***END***</t>
    <phoneticPr fontId="3"/>
  </si>
  <si>
    <t>東証</t>
    <phoneticPr fontId="3"/>
  </si>
  <si>
    <t>特定預り</t>
    <phoneticPr fontId="3"/>
  </si>
  <si>
    <t>一般預り</t>
    <phoneticPr fontId="3"/>
  </si>
  <si>
    <t>第20引数</t>
    <phoneticPr fontId="3"/>
  </si>
  <si>
    <t>第19引数</t>
    <phoneticPr fontId="3"/>
  </si>
  <si>
    <t>完了</t>
    <phoneticPr fontId="3"/>
  </si>
  <si>
    <t>全部約定</t>
    <phoneticPr fontId="3"/>
  </si>
  <si>
    <t>ワンショット</t>
    <phoneticPr fontId="3"/>
  </si>
  <si>
    <t>完了</t>
    <phoneticPr fontId="3"/>
  </si>
  <si>
    <t>ＮＦ日経レバ</t>
    <phoneticPr fontId="3"/>
  </si>
  <si>
    <t>ドバイ原油先物ブル</t>
    <phoneticPr fontId="3"/>
  </si>
  <si>
    <t>ＳＢテクノロジー</t>
    <phoneticPr fontId="3"/>
  </si>
  <si>
    <t>ニッキ</t>
    <phoneticPr fontId="3"/>
  </si>
  <si>
    <t>Ｍ－地盤ネットＨＤ</t>
    <phoneticPr fontId="3"/>
  </si>
  <si>
    <t>Ｍ－ＡｐｐＢａｎｋ</t>
    <phoneticPr fontId="3"/>
  </si>
  <si>
    <t>日立</t>
    <phoneticPr fontId="3"/>
  </si>
  <si>
    <t>大日印</t>
    <phoneticPr fontId="3"/>
  </si>
  <si>
    <t>イオン</t>
    <phoneticPr fontId="3"/>
  </si>
  <si>
    <t>新生銀</t>
    <phoneticPr fontId="3"/>
  </si>
  <si>
    <t>みずほ</t>
    <phoneticPr fontId="3"/>
  </si>
  <si>
    <t>トモニＨＤ</t>
    <phoneticPr fontId="3"/>
  </si>
  <si>
    <t>岡三</t>
    <phoneticPr fontId="3"/>
  </si>
  <si>
    <t>東電力ＨＤ</t>
    <phoneticPr fontId="3"/>
  </si>
  <si>
    <t>ミニストップ</t>
    <phoneticPr fontId="3"/>
  </si>
  <si>
    <t>ソフトバンクグループ</t>
    <phoneticPr fontId="3"/>
  </si>
  <si>
    <t>特定預り</t>
    <phoneticPr fontId="3"/>
  </si>
  <si>
    <t>現物</t>
    <phoneticPr fontId="3"/>
  </si>
  <si>
    <t>現物</t>
    <phoneticPr fontId="3"/>
  </si>
  <si>
    <t>現物</t>
    <phoneticPr fontId="3"/>
  </si>
  <si>
    <t>現物</t>
    <phoneticPr fontId="3"/>
  </si>
  <si>
    <t>現物</t>
    <phoneticPr fontId="3"/>
  </si>
  <si>
    <t>現物</t>
    <phoneticPr fontId="3"/>
  </si>
  <si>
    <t>現物</t>
    <phoneticPr fontId="3"/>
  </si>
  <si>
    <t>現物</t>
    <phoneticPr fontId="3"/>
  </si>
  <si>
    <t>現物</t>
    <phoneticPr fontId="3"/>
  </si>
  <si>
    <t>信用</t>
    <phoneticPr fontId="3"/>
  </si>
  <si>
    <t>信用</t>
    <phoneticPr fontId="3"/>
  </si>
  <si>
    <t>信用</t>
    <phoneticPr fontId="3"/>
  </si>
  <si>
    <t>信用</t>
    <phoneticPr fontId="3"/>
  </si>
  <si>
    <t>信用</t>
    <phoneticPr fontId="3"/>
  </si>
  <si>
    <t>信用</t>
    <phoneticPr fontId="3"/>
  </si>
  <si>
    <t>信用</t>
    <phoneticPr fontId="3"/>
  </si>
  <si>
    <t>***END***</t>
    <phoneticPr fontId="3"/>
  </si>
  <si>
    <t>第21引数</t>
    <phoneticPr fontId="3"/>
  </si>
  <si>
    <t>3,500</t>
  </si>
  <si>
    <t>1,600</t>
  </si>
  <si>
    <t>***END***</t>
    <phoneticPr fontId="3"/>
  </si>
  <si>
    <t>***END***</t>
    <phoneticPr fontId="3"/>
  </si>
  <si>
    <t>１：売返済、３：買返済</t>
    <rPh sb="2" eb="3">
      <t>バイ</t>
    </rPh>
    <rPh sb="3" eb="5">
      <t>ヘンサイ</t>
    </rPh>
    <rPh sb="8" eb="9">
      <t>バイ</t>
    </rPh>
    <rPh sb="9" eb="11">
      <t>ヘンサイ</t>
    </rPh>
    <phoneticPr fontId="3"/>
  </si>
  <si>
    <t>未約定</t>
    <phoneticPr fontId="3"/>
  </si>
  <si>
    <t>可能</t>
    <phoneticPr fontId="3"/>
  </si>
  <si>
    <t>指値</t>
    <phoneticPr fontId="3"/>
  </si>
  <si>
    <t>当日中</t>
    <phoneticPr fontId="3"/>
  </si>
  <si>
    <t>株式現物買</t>
    <phoneticPr fontId="3"/>
  </si>
  <si>
    <t>特定預り</t>
    <phoneticPr fontId="3"/>
  </si>
  <si>
    <t>21/12/17 12:37</t>
    <phoneticPr fontId="3"/>
  </si>
  <si>
    <t>21/12/17 14:34</t>
    <phoneticPr fontId="3"/>
  </si>
  <si>
    <t>21/12/17 09:09</t>
    <phoneticPr fontId="3"/>
  </si>
  <si>
    <t>21/12/17 08:55</t>
    <phoneticPr fontId="3"/>
  </si>
  <si>
    <t>21/12/17 14:32</t>
    <phoneticPr fontId="3"/>
  </si>
  <si>
    <t>21/12/17 12:37</t>
    <phoneticPr fontId="3"/>
  </si>
  <si>
    <t>信用新規買</t>
    <phoneticPr fontId="3"/>
  </si>
  <si>
    <t>株式現物買</t>
    <phoneticPr fontId="3"/>
  </si>
  <si>
    <t>岡三</t>
    <phoneticPr fontId="3"/>
  </si>
  <si>
    <t>岡三</t>
    <phoneticPr fontId="3"/>
  </si>
  <si>
    <t>***END***</t>
    <phoneticPr fontId="3"/>
  </si>
  <si>
    <t>ワンショット</t>
    <phoneticPr fontId="3"/>
  </si>
  <si>
    <t>ワンショット</t>
    <phoneticPr fontId="3"/>
  </si>
  <si>
    <t>特定預り</t>
    <phoneticPr fontId="3"/>
  </si>
  <si>
    <t>21/12/17 14:34</t>
    <phoneticPr fontId="3"/>
  </si>
  <si>
    <t>21/12/17 12:40</t>
    <phoneticPr fontId="3"/>
  </si>
  <si>
    <t>21/12/17 08:55</t>
    <phoneticPr fontId="3"/>
  </si>
  <si>
    <t>未約定</t>
    <phoneticPr fontId="3"/>
  </si>
  <si>
    <t>全部約定</t>
    <phoneticPr fontId="3"/>
  </si>
  <si>
    <t>未約定</t>
    <phoneticPr fontId="3"/>
  </si>
  <si>
    <t>***END***</t>
    <phoneticPr fontId="3"/>
  </si>
  <si>
    <t>東証</t>
    <phoneticPr fontId="3"/>
  </si>
  <si>
    <t>東証</t>
    <phoneticPr fontId="3"/>
  </si>
  <si>
    <t>不可能</t>
    <phoneticPr fontId="3"/>
  </si>
  <si>
    <t>信用返済売</t>
    <phoneticPr fontId="3"/>
  </si>
  <si>
    <t>特定預り</t>
    <phoneticPr fontId="3"/>
  </si>
  <si>
    <t>特定預り</t>
    <phoneticPr fontId="3"/>
  </si>
  <si>
    <t>21/12/17 12:38</t>
    <phoneticPr fontId="3"/>
  </si>
  <si>
    <t>8609</t>
    <phoneticPr fontId="3"/>
  </si>
  <si>
    <t>可能</t>
    <phoneticPr fontId="3"/>
  </si>
  <si>
    <t>不可能</t>
    <phoneticPr fontId="3"/>
  </si>
  <si>
    <t>完了</t>
    <phoneticPr fontId="3"/>
  </si>
  <si>
    <t>未約定</t>
    <phoneticPr fontId="3"/>
  </si>
  <si>
    <t>可能</t>
    <phoneticPr fontId="3"/>
  </si>
  <si>
    <t>不可能</t>
    <phoneticPr fontId="3"/>
  </si>
  <si>
    <t>成行</t>
    <phoneticPr fontId="3"/>
  </si>
  <si>
    <t>21/12/17 12:51</t>
    <phoneticPr fontId="3"/>
  </si>
  <si>
    <t>可能</t>
    <phoneticPr fontId="3"/>
  </si>
  <si>
    <t>未約定</t>
    <phoneticPr fontId="3"/>
  </si>
  <si>
    <t>未約定</t>
    <phoneticPr fontId="3"/>
  </si>
  <si>
    <t>完了</t>
    <phoneticPr fontId="3"/>
  </si>
  <si>
    <t>指値</t>
    <phoneticPr fontId="3"/>
  </si>
  <si>
    <t>成行</t>
    <phoneticPr fontId="3"/>
  </si>
  <si>
    <t>当日中</t>
    <phoneticPr fontId="3"/>
  </si>
  <si>
    <t>株式現物買</t>
    <phoneticPr fontId="3"/>
  </si>
  <si>
    <t>信用返済売</t>
    <phoneticPr fontId="3"/>
  </si>
  <si>
    <t>信用新規買</t>
    <phoneticPr fontId="3"/>
  </si>
  <si>
    <t>株式現物買</t>
    <phoneticPr fontId="3"/>
  </si>
  <si>
    <t>信用返済買</t>
    <phoneticPr fontId="3"/>
  </si>
  <si>
    <t>***END***</t>
    <phoneticPr fontId="3"/>
  </si>
  <si>
    <t>信用返済買</t>
    <phoneticPr fontId="3"/>
  </si>
  <si>
    <t>岡三</t>
    <phoneticPr fontId="3"/>
  </si>
  <si>
    <t>ワンショット</t>
    <phoneticPr fontId="3"/>
  </si>
  <si>
    <t>特定預り</t>
    <phoneticPr fontId="3"/>
  </si>
  <si>
    <t>21/12/17 14:32</t>
    <phoneticPr fontId="3"/>
  </si>
  <si>
    <t>21/12/17 12:40</t>
    <phoneticPr fontId="3"/>
  </si>
  <si>
    <t>21/12/17 08:55</t>
    <phoneticPr fontId="3"/>
  </si>
  <si>
    <t>21/12/17 01:38</t>
    <phoneticPr fontId="3"/>
  </si>
  <si>
    <t>21/12/17 12:51</t>
    <phoneticPr fontId="3"/>
  </si>
  <si>
    <t>21/12/17 09:09</t>
    <phoneticPr fontId="3"/>
  </si>
  <si>
    <t>東証</t>
    <phoneticPr fontId="3"/>
  </si>
  <si>
    <t>東証</t>
    <phoneticPr fontId="3"/>
  </si>
  <si>
    <t>未約定</t>
    <phoneticPr fontId="3"/>
  </si>
  <si>
    <t>可能</t>
    <phoneticPr fontId="3"/>
  </si>
  <si>
    <t>不可能</t>
    <phoneticPr fontId="3"/>
  </si>
  <si>
    <t>可能</t>
    <phoneticPr fontId="3"/>
  </si>
  <si>
    <t>R1</t>
    <phoneticPr fontId="3"/>
  </si>
  <si>
    <t>M1</t>
    <phoneticPr fontId="3"/>
  </si>
  <si>
    <t>S1</t>
    <phoneticPr fontId="3"/>
  </si>
  <si>
    <t>東証</t>
    <rPh sb="0" eb="2">
      <t>トウショウ</t>
    </rPh>
    <phoneticPr fontId="3"/>
  </si>
  <si>
    <t>***END***</t>
    <phoneticPr fontId="3"/>
  </si>
  <si>
    <t>0：表示あり、１：注意画面を表示せず注文をキャンセル。指定しない場合は表示あり</t>
    <rPh sb="9" eb="11">
      <t>チュウイ</t>
    </rPh>
    <rPh sb="11" eb="13">
      <t>ガメン</t>
    </rPh>
    <rPh sb="14" eb="16">
      <t>ヒョウジ</t>
    </rPh>
    <rPh sb="18" eb="20">
      <t>チュウモン</t>
    </rPh>
    <rPh sb="27" eb="29">
      <t>シテイ</t>
    </rPh>
    <rPh sb="32" eb="34">
      <t>バアイ</t>
    </rPh>
    <phoneticPr fontId="3"/>
  </si>
  <si>
    <t>0：表示あり、１：表示無し。指定しない場合は表示あり</t>
    <rPh sb="14" eb="16">
      <t>シテイ</t>
    </rPh>
    <rPh sb="19" eb="21">
      <t>バアイ</t>
    </rPh>
    <rPh sb="22" eb="24">
      <t>ヒョウジ</t>
    </rPh>
    <phoneticPr fontId="3"/>
  </si>
  <si>
    <t>発注単価（逆指値）</t>
    <rPh sb="0" eb="2">
      <t>ハッチュウ</t>
    </rPh>
    <rPh sb="2" eb="4">
      <t>タンカ</t>
    </rPh>
    <rPh sb="5" eb="6">
      <t>ギャク</t>
    </rPh>
    <rPh sb="6" eb="8">
      <t>サシネ</t>
    </rPh>
    <phoneticPr fontId="3"/>
  </si>
  <si>
    <t>このサンプルシートでは使用しません</t>
    <rPh sb="11" eb="13">
      <t>シヨウ</t>
    </rPh>
    <phoneticPr fontId="12"/>
  </si>
  <si>
    <t>発注条件（逆指値）</t>
    <rPh sb="0" eb="2">
      <t>ハッチュウ</t>
    </rPh>
    <rPh sb="2" eb="4">
      <t>ジョウケン</t>
    </rPh>
    <rPh sb="5" eb="6">
      <t>ギャク</t>
    </rPh>
    <rPh sb="6" eb="8">
      <t>サシネ</t>
    </rPh>
    <phoneticPr fontId="3"/>
  </si>
  <si>
    <t>重複注文防止用のユニークなコード</t>
    <phoneticPr fontId="3"/>
  </si>
  <si>
    <t>S0511</t>
    <phoneticPr fontId="12"/>
  </si>
  <si>
    <t>S0411</t>
    <phoneticPr fontId="12"/>
  </si>
  <si>
    <t>S0311</t>
    <phoneticPr fontId="12"/>
  </si>
  <si>
    <t>S0211</t>
    <phoneticPr fontId="12"/>
  </si>
  <si>
    <t>S0111</t>
    <phoneticPr fontId="12"/>
  </si>
  <si>
    <t>日本株取引パスワード。</t>
    <phoneticPr fontId="3"/>
  </si>
  <si>
    <t>demo</t>
    <phoneticPr fontId="12"/>
  </si>
  <si>
    <t>RSSバージョン２では常に表示なし</t>
    <phoneticPr fontId="12"/>
  </si>
  <si>
    <t>注文画面省略フラグ</t>
    <rPh sb="4" eb="6">
      <t>ショウリャク</t>
    </rPh>
    <phoneticPr fontId="12"/>
  </si>
  <si>
    <t>0：表示あり、１：表示無し</t>
    <phoneticPr fontId="12"/>
  </si>
  <si>
    <t>注文完了省略フラグ</t>
    <rPh sb="4" eb="6">
      <t>ショウリャク</t>
    </rPh>
    <phoneticPr fontId="12"/>
  </si>
  <si>
    <t>YYYYMMDD、当日指定、今週指定の場合は省略可能</t>
    <phoneticPr fontId="3"/>
  </si>
  <si>
    <t>T：当日のみ有効、W：今週のみ有効、O：指定日付まで有効</t>
    <phoneticPr fontId="3"/>
  </si>
  <si>
    <t>T</t>
    <phoneticPr fontId="12"/>
  </si>
  <si>
    <t>逆指値の場合は発火条件価格を指定</t>
    <phoneticPr fontId="3"/>
  </si>
  <si>
    <t>1：指値、2：寄指、4：引指、6：不成、0：成行、3：寄成、5：引成、7：逆指値</t>
    <rPh sb="2" eb="4">
      <t>サシネ</t>
    </rPh>
    <rPh sb="7" eb="8">
      <t>ヤドリキ</t>
    </rPh>
    <rPh sb="8" eb="9">
      <t>ユビ</t>
    </rPh>
    <rPh sb="12" eb="13">
      <t>イン</t>
    </rPh>
    <rPh sb="13" eb="14">
      <t>ユビ</t>
    </rPh>
    <rPh sb="17" eb="18">
      <t>フ</t>
    </rPh>
    <rPh sb="18" eb="19">
      <t>シゲル</t>
    </rPh>
    <rPh sb="22" eb="24">
      <t>ナリユキ</t>
    </rPh>
    <rPh sb="27" eb="28">
      <t>ヤドリキ</t>
    </rPh>
    <rPh sb="28" eb="29">
      <t>シゲル</t>
    </rPh>
    <rPh sb="32" eb="33">
      <t>イン</t>
    </rPh>
    <rPh sb="33" eb="34">
      <t>シゲル</t>
    </rPh>
    <rPh sb="37" eb="38">
      <t>ギャク</t>
    </rPh>
    <rPh sb="38" eb="40">
      <t>サシネ</t>
    </rPh>
    <phoneticPr fontId="3"/>
  </si>
  <si>
    <t>１：売、３：買</t>
    <phoneticPr fontId="3"/>
  </si>
  <si>
    <t>東証またはT、省略時は東証へ発注</t>
    <rPh sb="0" eb="2">
      <t>トウショウ</t>
    </rPh>
    <rPh sb="7" eb="9">
      <t>ショウリャク</t>
    </rPh>
    <rPh sb="9" eb="10">
      <t>ジ</t>
    </rPh>
    <rPh sb="11" eb="13">
      <t>トウショウ</t>
    </rPh>
    <rPh sb="14" eb="16">
      <t>ハッチュウ</t>
    </rPh>
    <phoneticPr fontId="3"/>
  </si>
  <si>
    <t>逆指値約定時損益</t>
    <rPh sb="0" eb="1">
      <t>ギャク</t>
    </rPh>
    <rPh sb="1" eb="3">
      <t>サシネ</t>
    </rPh>
    <rPh sb="3" eb="5">
      <t>ヤクジョウ</t>
    </rPh>
    <rPh sb="5" eb="6">
      <t>ジ</t>
    </rPh>
    <rPh sb="6" eb="8">
      <t>ソンエキ</t>
    </rPh>
    <phoneticPr fontId="12"/>
  </si>
  <si>
    <t>トレール約定時損益</t>
    <rPh sb="4" eb="6">
      <t>ヤクジョウ</t>
    </rPh>
    <rPh sb="6" eb="7">
      <t>ジ</t>
    </rPh>
    <rPh sb="7" eb="9">
      <t>ソンエキ</t>
    </rPh>
    <phoneticPr fontId="12"/>
  </si>
  <si>
    <t>評価損益</t>
    <rPh sb="0" eb="2">
      <t>ヒョウカ</t>
    </rPh>
    <rPh sb="2" eb="3">
      <t>ソン</t>
    </rPh>
    <rPh sb="3" eb="4">
      <t>エキ</t>
    </rPh>
    <phoneticPr fontId="12"/>
  </si>
  <si>
    <t>保存フラグ</t>
    <rPh sb="0" eb="2">
      <t>ホゾン</t>
    </rPh>
    <phoneticPr fontId="12"/>
  </si>
  <si>
    <t>「現在値≦逆指値水準」で発注フラグ「1」が立ち、直下のセルに「1」を値のみ貼り付け</t>
    <rPh sb="1" eb="3">
      <t>ゲンザイ</t>
    </rPh>
    <rPh sb="3" eb="4">
      <t>チ</t>
    </rPh>
    <rPh sb="5" eb="6">
      <t>ギャク</t>
    </rPh>
    <rPh sb="6" eb="8">
      <t>サシネ</t>
    </rPh>
    <rPh sb="8" eb="10">
      <t>スイジュン</t>
    </rPh>
    <rPh sb="12" eb="14">
      <t>ハッチュウ</t>
    </rPh>
    <rPh sb="21" eb="22">
      <t>タ</t>
    </rPh>
    <rPh sb="24" eb="26">
      <t>チョッカ</t>
    </rPh>
    <rPh sb="34" eb="35">
      <t>アタイ</t>
    </rPh>
    <rPh sb="37" eb="38">
      <t>ハ</t>
    </rPh>
    <rPh sb="39" eb="40">
      <t>ツ</t>
    </rPh>
    <phoneticPr fontId="12"/>
  </si>
  <si>
    <t>発注フラグ</t>
    <rPh sb="0" eb="2">
      <t>ハッチュウ</t>
    </rPh>
    <phoneticPr fontId="12"/>
  </si>
  <si>
    <t>←入力行</t>
    <rPh sb="1" eb="3">
      <t>ニュウリョク</t>
    </rPh>
    <rPh sb="3" eb="4">
      <t>ギョウ</t>
    </rPh>
    <phoneticPr fontId="12"/>
  </si>
  <si>
    <t>逆指値水準</t>
    <rPh sb="0" eb="1">
      <t>ギャク</t>
    </rPh>
    <rPh sb="1" eb="3">
      <t>サシネ</t>
    </rPh>
    <rPh sb="3" eb="5">
      <t>スイジュン</t>
    </rPh>
    <phoneticPr fontId="12"/>
  </si>
  <si>
    <t>※</t>
    <phoneticPr fontId="12"/>
  </si>
  <si>
    <t>「現在値≦トレール決済水準」でフラグ「1」が立ち、直下のセルに「1」を値のみ貼り付け</t>
    <rPh sb="1" eb="3">
      <t>ゲンザイ</t>
    </rPh>
    <rPh sb="3" eb="4">
      <t>チ</t>
    </rPh>
    <rPh sb="9" eb="11">
      <t>ケッサイ</t>
    </rPh>
    <rPh sb="11" eb="13">
      <t>スイジュン</t>
    </rPh>
    <rPh sb="22" eb="23">
      <t>タ</t>
    </rPh>
    <rPh sb="25" eb="27">
      <t>チョッカ</t>
    </rPh>
    <rPh sb="35" eb="36">
      <t>アタイ</t>
    </rPh>
    <rPh sb="38" eb="39">
      <t>ハ</t>
    </rPh>
    <rPh sb="40" eb="41">
      <t>ツ</t>
    </rPh>
    <phoneticPr fontId="12"/>
  </si>
  <si>
    <t>トレール決済水準</t>
    <rPh sb="4" eb="6">
      <t>ケッサイ</t>
    </rPh>
    <rPh sb="6" eb="8">
      <t>スイジュン</t>
    </rPh>
    <phoneticPr fontId="12"/>
  </si>
  <si>
    <t>トレール幅</t>
    <rPh sb="4" eb="5">
      <t>ハバ</t>
    </rPh>
    <phoneticPr fontId="12"/>
  </si>
  <si>
    <t>「現在値≧トレール発動水準」でフラグ「1」が立ち、直下のセルに「1」を値のみ貼り付け</t>
    <rPh sb="1" eb="3">
      <t>ゲンザイ</t>
    </rPh>
    <rPh sb="3" eb="4">
      <t>チ</t>
    </rPh>
    <rPh sb="9" eb="11">
      <t>ハツドウ</t>
    </rPh>
    <rPh sb="11" eb="13">
      <t>スイジュン</t>
    </rPh>
    <rPh sb="22" eb="23">
      <t>タ</t>
    </rPh>
    <rPh sb="25" eb="27">
      <t>チョッカ</t>
    </rPh>
    <rPh sb="35" eb="36">
      <t>アタイ</t>
    </rPh>
    <rPh sb="38" eb="39">
      <t>ハ</t>
    </rPh>
    <rPh sb="40" eb="41">
      <t>ツ</t>
    </rPh>
    <phoneticPr fontId="12"/>
  </si>
  <si>
    <t>発動フラグ</t>
    <rPh sb="0" eb="2">
      <t>ハツドウ</t>
    </rPh>
    <phoneticPr fontId="12"/>
  </si>
  <si>
    <t>トレール発動水準</t>
    <rPh sb="4" eb="6">
      <t>ハツドウ</t>
    </rPh>
    <rPh sb="6" eb="8">
      <t>スイジュン</t>
    </rPh>
    <phoneticPr fontId="12"/>
  </si>
  <si>
    <t>安値</t>
    <rPh sb="0" eb="2">
      <t>ヤスネ</t>
    </rPh>
    <phoneticPr fontId="12"/>
  </si>
  <si>
    <t>高値</t>
    <rPh sb="0" eb="2">
      <t>タカネ</t>
    </rPh>
    <phoneticPr fontId="12"/>
  </si>
  <si>
    <t>現在値</t>
    <rPh sb="0" eb="3">
      <t>ゲンザイネ</t>
    </rPh>
    <phoneticPr fontId="12"/>
  </si>
  <si>
    <t>保有数</t>
    <rPh sb="0" eb="3">
      <t>ホユウスウ</t>
    </rPh>
    <phoneticPr fontId="12"/>
  </si>
  <si>
    <t>約定単価</t>
    <rPh sb="0" eb="2">
      <t>ヤクジョウ</t>
    </rPh>
    <rPh sb="2" eb="4">
      <t>タンカ</t>
    </rPh>
    <phoneticPr fontId="12"/>
  </si>
  <si>
    <t>銘柄名</t>
    <rPh sb="0" eb="2">
      <t>メイガラ</t>
    </rPh>
    <rPh sb="2" eb="3">
      <t>メイ</t>
    </rPh>
    <phoneticPr fontId="12"/>
  </si>
  <si>
    <t>銘柄コード</t>
    <rPh sb="0" eb="2">
      <t>メイガラ</t>
    </rPh>
    <phoneticPr fontId="12"/>
  </si>
  <si>
    <t>資産管理 兼 利益・損失確定シート</t>
    <rPh sb="0" eb="2">
      <t>シサン</t>
    </rPh>
    <rPh sb="2" eb="4">
      <t>カンリ</t>
    </rPh>
    <rPh sb="5" eb="6">
      <t>ケン</t>
    </rPh>
    <rPh sb="7" eb="9">
      <t>リエキ</t>
    </rPh>
    <rPh sb="10" eb="12">
      <t>ソンシツ</t>
    </rPh>
    <rPh sb="12" eb="14">
      <t>カクテイ</t>
    </rPh>
    <phoneticPr fontId="12"/>
  </si>
  <si>
    <t>起動時刻</t>
    <rPh sb="0" eb="2">
      <t>キドウ</t>
    </rPh>
    <rPh sb="2" eb="4">
      <t>ジコク</t>
    </rPh>
    <phoneticPr fontId="3"/>
  </si>
  <si>
    <t>終了時刻</t>
    <rPh sb="0" eb="2">
      <t>シュウリョウ</t>
    </rPh>
    <rPh sb="2" eb="4">
      <t>ジコク</t>
    </rPh>
    <phoneticPr fontId="3"/>
  </si>
  <si>
    <t>株数</t>
    <rPh sb="0" eb="2">
      <t>カブスウ</t>
    </rPh>
    <phoneticPr fontId="3"/>
  </si>
  <si>
    <t>銘柄ｺｰﾄﾞ</t>
    <rPh sb="0" eb="2">
      <t>メイガラ</t>
    </rPh>
    <phoneticPr fontId="3"/>
  </si>
  <si>
    <t>(注）現在株数は100に固定されている。</t>
    <rPh sb="1" eb="2">
      <t>チュウ</t>
    </rPh>
    <rPh sb="3" eb="5">
      <t>ゲンザイ</t>
    </rPh>
    <rPh sb="5" eb="7">
      <t>カブスウ</t>
    </rPh>
    <rPh sb="12" eb="14">
      <t>コテイ</t>
    </rPh>
    <phoneticPr fontId="3"/>
  </si>
  <si>
    <t>こ</t>
    <phoneticPr fontId="3"/>
  </si>
  <si>
    <t>れ</t>
    <phoneticPr fontId="3"/>
  </si>
  <si>
    <t>よ</t>
    <phoneticPr fontId="3"/>
  </si>
  <si>
    <t>り</t>
    <phoneticPr fontId="3"/>
  </si>
  <si>
    <t>右</t>
    <rPh sb="0" eb="1">
      <t>ミギ</t>
    </rPh>
    <phoneticPr fontId="3"/>
  </si>
  <si>
    <t>は</t>
    <phoneticPr fontId="3"/>
  </si>
  <si>
    <t>デ</t>
    <phoneticPr fontId="3"/>
  </si>
  <si>
    <t>バ</t>
    <phoneticPr fontId="3"/>
  </si>
  <si>
    <t>グ</t>
    <phoneticPr fontId="3"/>
  </si>
  <si>
    <t>用</t>
    <rPh sb="0" eb="1">
      <t>ヨウ</t>
    </rPh>
    <phoneticPr fontId="3"/>
  </si>
  <si>
    <t>な</t>
    <phoneticPr fontId="3"/>
  </si>
  <si>
    <t>の</t>
    <phoneticPr fontId="3"/>
  </si>
  <si>
    <t>で</t>
    <phoneticPr fontId="3"/>
  </si>
  <si>
    <t>さ</t>
    <phoneticPr fontId="3"/>
  </si>
  <si>
    <t>わ</t>
    <phoneticPr fontId="3"/>
  </si>
  <si>
    <t>ら</t>
    <phoneticPr fontId="3"/>
  </si>
  <si>
    <t>い</t>
    <phoneticPr fontId="3"/>
  </si>
  <si>
    <t>事</t>
    <rPh sb="0" eb="1">
      <t>コト</t>
    </rPh>
    <phoneticPr fontId="3"/>
  </si>
  <si>
    <t>。</t>
    <phoneticPr fontId="3"/>
  </si>
  <si>
    <t>監視頻度</t>
    <rPh sb="0" eb="2">
      <t>カンシ</t>
    </rPh>
    <rPh sb="2" eb="4">
      <t>ヒンド</t>
    </rPh>
    <phoneticPr fontId="3"/>
  </si>
  <si>
    <t>　ﾃﾞﾊﾞｸﾞ時遅延量</t>
    <rPh sb="7" eb="8">
      <t>ジ</t>
    </rPh>
    <rPh sb="8" eb="10">
      <t>チエン</t>
    </rPh>
    <rPh sb="10" eb="11">
      <t>リョウ</t>
    </rPh>
    <phoneticPr fontId="3"/>
  </si>
  <si>
    <t>03/30</t>
    <phoneticPr fontId="3"/>
  </si>
  <si>
    <t>23/03/30 09:46</t>
    <phoneticPr fontId="3"/>
  </si>
  <si>
    <t>取消完了</t>
    <phoneticPr fontId="3"/>
  </si>
  <si>
    <t>23/03/30 10:12</t>
    <phoneticPr fontId="3"/>
  </si>
  <si>
    <t>23/03/30 10:23</t>
    <phoneticPr fontId="3"/>
  </si>
  <si>
    <t>14:46:50</t>
    <phoneticPr fontId="3"/>
  </si>
  <si>
    <t>14:46:53</t>
    <phoneticPr fontId="3"/>
  </si>
  <si>
    <t>14:47:00</t>
    <phoneticPr fontId="3"/>
  </si>
  <si>
    <t>14:47:28</t>
    <phoneticPr fontId="3"/>
  </si>
  <si>
    <t>14:47:43</t>
    <phoneticPr fontId="3"/>
  </si>
  <si>
    <t>14:48:51</t>
    <phoneticPr fontId="3"/>
  </si>
  <si>
    <t>14:50:10</t>
    <phoneticPr fontId="3"/>
  </si>
  <si>
    <t>14:50:23</t>
    <phoneticPr fontId="3"/>
  </si>
  <si>
    <t>14:50:25</t>
    <phoneticPr fontId="3"/>
  </si>
  <si>
    <t>14:50:31</t>
    <phoneticPr fontId="3"/>
  </si>
  <si>
    <t>14:50:37</t>
    <phoneticPr fontId="3"/>
  </si>
  <si>
    <t>14:50:57</t>
    <phoneticPr fontId="3"/>
  </si>
  <si>
    <t>14:51:25</t>
    <phoneticPr fontId="3"/>
  </si>
  <si>
    <t>14:52:03</t>
    <phoneticPr fontId="3"/>
  </si>
  <si>
    <t>14:52:45</t>
    <phoneticPr fontId="3"/>
  </si>
  <si>
    <t>14:53:02</t>
    <phoneticPr fontId="3"/>
  </si>
  <si>
    <t>14:53:25</t>
    <phoneticPr fontId="3"/>
  </si>
  <si>
    <t>14:53:30</t>
    <phoneticPr fontId="3"/>
  </si>
  <si>
    <t>14:53:43</t>
    <phoneticPr fontId="3"/>
  </si>
  <si>
    <t>14:53:44</t>
    <phoneticPr fontId="3"/>
  </si>
  <si>
    <t>14:54:05</t>
    <phoneticPr fontId="3"/>
  </si>
  <si>
    <t>14:54:10</t>
    <phoneticPr fontId="3"/>
  </si>
  <si>
    <t>14:54:21</t>
    <phoneticPr fontId="3"/>
  </si>
  <si>
    <t>14:55:02</t>
    <phoneticPr fontId="3"/>
  </si>
  <si>
    <t>14:55:08</t>
    <phoneticPr fontId="3"/>
  </si>
  <si>
    <t>14:55:23</t>
    <phoneticPr fontId="3"/>
  </si>
  <si>
    <t>14:55:39</t>
    <phoneticPr fontId="3"/>
  </si>
  <si>
    <t>14:56:01</t>
    <phoneticPr fontId="3"/>
  </si>
  <si>
    <t>14:56:11</t>
    <phoneticPr fontId="3"/>
  </si>
  <si>
    <t>14:56:37</t>
    <phoneticPr fontId="3"/>
  </si>
  <si>
    <t>14:56:39</t>
    <phoneticPr fontId="3"/>
  </si>
  <si>
    <t>14:56:41</t>
    <phoneticPr fontId="3"/>
  </si>
  <si>
    <t>14:57:03</t>
    <phoneticPr fontId="3"/>
  </si>
  <si>
    <t>14:57:12</t>
    <phoneticPr fontId="3"/>
  </si>
  <si>
    <t>14:57:14</t>
    <phoneticPr fontId="3"/>
  </si>
  <si>
    <t>14:57:40</t>
    <phoneticPr fontId="3"/>
  </si>
  <si>
    <t>14:57:41</t>
    <phoneticPr fontId="3"/>
  </si>
  <si>
    <t>14:57:49</t>
    <phoneticPr fontId="3"/>
  </si>
  <si>
    <t>14:57:54</t>
    <phoneticPr fontId="3"/>
  </si>
  <si>
    <t>14:57:53</t>
    <phoneticPr fontId="3"/>
  </si>
  <si>
    <t>demo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</si>
</sst>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,##0_ "/>
    <numFmt numFmtId="178" formatCode="0.0%"/>
    <numFmt numFmtId="179" formatCode="#,##0.0;&quot;△ &quot;#,##0.0"/>
    <numFmt numFmtId="180" formatCode="0.0"/>
    <numFmt numFmtId="181" formatCode="0_);[Red]\(0\)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7777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4F8F2"/>
        <bgColor indexed="64"/>
      </patternFill>
    </fill>
  </fills>
  <borders count="9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2"/>
      </left>
      <right style="thin">
        <color indexed="23"/>
      </right>
      <top style="thin">
        <color indexed="22"/>
      </top>
      <bottom style="thin">
        <color indexed="23"/>
      </bottom>
      <diagonal/>
    </border>
    <border>
      <left style="thin">
        <color indexed="23"/>
      </left>
      <right/>
      <top style="thin">
        <color indexed="22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3"/>
      </bottom>
      <diagonal/>
    </border>
    <border>
      <left style="thin">
        <color indexed="23"/>
      </left>
      <right style="thin">
        <color indexed="22"/>
      </right>
      <top style="thin">
        <color indexed="22"/>
      </top>
      <bottom style="thin">
        <color indexed="23"/>
      </bottom>
      <diagonal/>
    </border>
    <border>
      <left style="thin">
        <color indexed="22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2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2"/>
      </right>
      <top style="thin">
        <color indexed="23"/>
      </top>
      <bottom/>
      <diagonal/>
    </border>
    <border>
      <left style="thin">
        <color indexed="22"/>
      </left>
      <right style="thin">
        <color indexed="23"/>
      </right>
      <top style="thin">
        <color indexed="23"/>
      </top>
      <bottom style="thin">
        <color indexed="22"/>
      </bottom>
      <diagonal/>
    </border>
    <border>
      <left style="thin">
        <color indexed="23"/>
      </left>
      <right/>
      <top style="thin">
        <color indexed="23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2"/>
      </bottom>
      <diagonal/>
    </border>
    <border>
      <left style="thin">
        <color indexed="23"/>
      </left>
      <right style="thin">
        <color indexed="22"/>
      </right>
      <top style="thin">
        <color indexed="23"/>
      </top>
      <bottom style="thin">
        <color indexed="22"/>
      </bottom>
      <diagonal/>
    </border>
    <border>
      <left style="thin">
        <color indexed="22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2"/>
      </right>
      <top/>
      <bottom style="thin">
        <color indexed="23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22"/>
      </left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176" fontId="2" fillId="0" borderId="5" xfId="0" applyNumberFormat="1" applyFont="1" applyBorder="1" applyAlignment="1">
      <alignment horizontal="right" vertical="center"/>
    </xf>
    <xf numFmtId="0" fontId="0" fillId="0" borderId="6" xfId="0" applyBorder="1">
      <alignment vertical="center"/>
    </xf>
    <xf numFmtId="176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176" fontId="2" fillId="0" borderId="9" xfId="0" applyNumberFormat="1" applyFont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176" fontId="2" fillId="0" borderId="13" xfId="0" applyNumberFormat="1" applyFon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176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3" xfId="0" applyNumberFormat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right" vertical="center"/>
    </xf>
    <xf numFmtId="0" fontId="4" fillId="0" borderId="25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176" fontId="2" fillId="0" borderId="26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12" xfId="0" applyNumberFormat="1" applyFont="1" applyBorder="1" applyAlignment="1">
      <alignment horizontal="center" vertical="center"/>
    </xf>
    <xf numFmtId="9" fontId="2" fillId="0" borderId="13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2" fillId="0" borderId="29" xfId="0" applyNumberFormat="1" applyFont="1" applyBorder="1" applyAlignment="1">
      <alignment horizontal="center" vertical="center"/>
    </xf>
    <xf numFmtId="176" fontId="2" fillId="0" borderId="31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20" fontId="0" fillId="0" borderId="0" xfId="0" applyNumberFormat="1">
      <alignment vertical="center"/>
    </xf>
    <xf numFmtId="0" fontId="5" fillId="0" borderId="8" xfId="0" applyFont="1" applyBorder="1">
      <alignment vertical="center"/>
    </xf>
    <xf numFmtId="0" fontId="5" fillId="0" borderId="12" xfId="0" applyFont="1" applyBorder="1">
      <alignment vertical="center"/>
    </xf>
    <xf numFmtId="20" fontId="0" fillId="0" borderId="2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0" fontId="0" fillId="0" borderId="33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29" xfId="0" applyFont="1" applyBorder="1">
      <alignment vertical="center"/>
    </xf>
    <xf numFmtId="0" fontId="0" fillId="0" borderId="0" xfId="0" applyAlignment="1">
      <alignment horizontal="right" vertical="center"/>
    </xf>
    <xf numFmtId="10" fontId="0" fillId="0" borderId="0" xfId="0" applyNumberFormat="1">
      <alignment vertical="center"/>
    </xf>
    <xf numFmtId="0" fontId="2" fillId="0" borderId="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49" fontId="0" fillId="0" borderId="36" xfId="0" applyNumberFormat="1" applyBorder="1">
      <alignment vertical="center"/>
    </xf>
    <xf numFmtId="0" fontId="0" fillId="0" borderId="36" xfId="0" applyBorder="1" applyAlignment="1">
      <alignment horizontal="center" vertical="center"/>
    </xf>
    <xf numFmtId="0" fontId="0" fillId="0" borderId="36" xfId="0" applyBorder="1">
      <alignment vertical="center"/>
    </xf>
    <xf numFmtId="176" fontId="0" fillId="0" borderId="36" xfId="0" applyNumberFormat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2" fillId="0" borderId="37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38" xfId="0" applyFont="1" applyBorder="1" applyAlignment="1">
      <alignment horizontal="right" vertical="center"/>
    </xf>
    <xf numFmtId="49" fontId="2" fillId="0" borderId="39" xfId="0" applyNumberFormat="1" applyFont="1" applyBorder="1" applyAlignment="1">
      <alignment vertical="top"/>
    </xf>
    <xf numFmtId="0" fontId="2" fillId="0" borderId="40" xfId="0" applyFont="1" applyBorder="1">
      <alignment vertical="center"/>
    </xf>
    <xf numFmtId="0" fontId="2" fillId="0" borderId="41" xfId="0" applyFont="1" applyBorder="1">
      <alignment vertical="center"/>
    </xf>
    <xf numFmtId="0" fontId="2" fillId="0" borderId="41" xfId="0" applyFont="1" applyBorder="1" applyAlignment="1">
      <alignment horizontal="right" vertical="center"/>
    </xf>
    <xf numFmtId="49" fontId="2" fillId="0" borderId="42" xfId="0" applyNumberFormat="1" applyFont="1" applyBorder="1" applyAlignment="1">
      <alignment vertical="top"/>
    </xf>
    <xf numFmtId="0" fontId="2" fillId="0" borderId="43" xfId="0" applyFont="1" applyBorder="1">
      <alignment vertical="center"/>
    </xf>
    <xf numFmtId="0" fontId="2" fillId="0" borderId="44" xfId="0" applyFont="1" applyBorder="1">
      <alignment vertical="center"/>
    </xf>
    <xf numFmtId="0" fontId="2" fillId="0" borderId="44" xfId="0" applyFont="1" applyBorder="1" applyAlignment="1">
      <alignment horizontal="right" vertical="center"/>
    </xf>
    <xf numFmtId="49" fontId="2" fillId="0" borderId="45" xfId="0" applyNumberFormat="1" applyFont="1" applyBorder="1" applyAlignment="1">
      <alignment vertical="top"/>
    </xf>
    <xf numFmtId="49" fontId="0" fillId="0" borderId="36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0" fontId="0" fillId="0" borderId="36" xfId="0" applyNumberFormat="1" applyBorder="1">
      <alignment vertical="center"/>
    </xf>
    <xf numFmtId="3" fontId="0" fillId="0" borderId="0" xfId="0" applyNumberFormat="1">
      <alignment vertical="center"/>
    </xf>
    <xf numFmtId="38" fontId="2" fillId="0" borderId="0" xfId="2" applyFill="1" applyBorder="1" applyAlignment="1">
      <alignment horizontal="right" vertical="center"/>
    </xf>
    <xf numFmtId="38" fontId="2" fillId="0" borderId="0" xfId="2" applyFill="1" applyBorder="1">
      <alignment vertical="center"/>
    </xf>
    <xf numFmtId="38" fontId="2" fillId="0" borderId="0" xfId="2" applyBorder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2" borderId="34" xfId="0" applyFill="1" applyBorder="1">
      <alignment vertical="center"/>
    </xf>
    <xf numFmtId="178" fontId="0" fillId="0" borderId="34" xfId="1" applyNumberFormat="1" applyFont="1" applyBorder="1">
      <alignment vertical="center"/>
    </xf>
    <xf numFmtId="38" fontId="0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47" xfId="0" applyNumberFormat="1" applyBorder="1">
      <alignment vertical="center"/>
    </xf>
    <xf numFmtId="49" fontId="0" fillId="0" borderId="48" xfId="0" applyNumberFormat="1" applyBorder="1">
      <alignment vertical="center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49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38" fontId="0" fillId="0" borderId="0" xfId="2" applyFont="1" applyBorder="1">
      <alignment vertical="center"/>
    </xf>
    <xf numFmtId="38" fontId="0" fillId="0" borderId="0" xfId="2" applyFont="1" applyFill="1" applyBorder="1">
      <alignment vertical="center"/>
    </xf>
    <xf numFmtId="10" fontId="0" fillId="0" borderId="0" xfId="1" applyNumberFormat="1" applyFont="1" applyBorder="1">
      <alignment vertical="center"/>
    </xf>
    <xf numFmtId="10" fontId="0" fillId="0" borderId="0" xfId="1" applyNumberFormat="1" applyFont="1">
      <alignment vertical="center"/>
    </xf>
    <xf numFmtId="56" fontId="0" fillId="0" borderId="0" xfId="0" applyNumberFormat="1">
      <alignment vertical="center"/>
    </xf>
    <xf numFmtId="22" fontId="0" fillId="0" borderId="0" xfId="0" applyNumberFormat="1">
      <alignment vertical="center"/>
    </xf>
    <xf numFmtId="3" fontId="0" fillId="0" borderId="0" xfId="0" applyNumberFormat="1" applyAlignment="1">
      <alignment horizontal="right" vertical="center"/>
    </xf>
    <xf numFmtId="0" fontId="2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49" fontId="0" fillId="0" borderId="42" xfId="0" applyNumberFormat="1" applyBorder="1" applyAlignment="1">
      <alignment vertical="top"/>
    </xf>
    <xf numFmtId="0" fontId="0" fillId="0" borderId="49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49" fontId="0" fillId="0" borderId="39" xfId="0" applyNumberFormat="1" applyBorder="1" applyAlignment="1">
      <alignment vertical="top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2" borderId="14" xfId="0" applyFill="1" applyBorder="1" applyAlignment="1">
      <alignment horizontal="center" vertical="center"/>
    </xf>
    <xf numFmtId="0" fontId="0" fillId="3" borderId="32" xfId="0" applyFill="1" applyBorder="1" applyAlignment="1">
      <alignment horizontal="right" vertical="center"/>
    </xf>
    <xf numFmtId="0" fontId="8" fillId="4" borderId="59" xfId="0" applyFont="1" applyFill="1" applyBorder="1" applyAlignment="1">
      <alignment horizontal="center" vertical="center" shrinkToFit="1"/>
    </xf>
    <xf numFmtId="0" fontId="8" fillId="4" borderId="60" xfId="0" applyFont="1" applyFill="1" applyBorder="1" applyAlignment="1">
      <alignment horizontal="center" vertical="center" shrinkToFit="1"/>
    </xf>
    <xf numFmtId="0" fontId="8" fillId="4" borderId="63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right" vertical="center" shrinkToFit="1"/>
    </xf>
    <xf numFmtId="0" fontId="8" fillId="4" borderId="65" xfId="0" applyFont="1" applyFill="1" applyBorder="1" applyAlignment="1">
      <alignment horizontal="left" vertical="center" shrinkToFit="1"/>
    </xf>
    <xf numFmtId="0" fontId="8" fillId="4" borderId="65" xfId="0" applyFont="1" applyFill="1" applyBorder="1" applyAlignment="1">
      <alignment horizontal="center" vertical="center" shrinkToFit="1"/>
    </xf>
    <xf numFmtId="0" fontId="8" fillId="4" borderId="66" xfId="0" applyFont="1" applyFill="1" applyBorder="1" applyAlignment="1">
      <alignment horizontal="center" vertical="center" shrinkToFit="1"/>
    </xf>
    <xf numFmtId="176" fontId="8" fillId="4" borderId="67" xfId="0" applyNumberFormat="1" applyFont="1" applyFill="1" applyBorder="1" applyAlignment="1">
      <alignment vertical="center" shrinkToFit="1"/>
    </xf>
    <xf numFmtId="10" fontId="8" fillId="4" borderId="66" xfId="0" applyNumberFormat="1" applyFont="1" applyFill="1" applyBorder="1" applyAlignment="1">
      <alignment horizontal="center" vertical="center" shrinkToFit="1"/>
    </xf>
    <xf numFmtId="9" fontId="8" fillId="4" borderId="69" xfId="0" applyNumberFormat="1" applyFont="1" applyFill="1" applyBorder="1" applyAlignment="1">
      <alignment horizontal="center" vertical="center" shrinkToFit="1"/>
    </xf>
    <xf numFmtId="0" fontId="8" fillId="4" borderId="61" xfId="0" applyFont="1" applyFill="1" applyBorder="1" applyAlignment="1">
      <alignment horizontal="center" vertical="center" shrinkToFit="1"/>
    </xf>
    <xf numFmtId="0" fontId="8" fillId="4" borderId="62" xfId="0" applyFont="1" applyFill="1" applyBorder="1" applyAlignment="1">
      <alignment horizontal="center" vertical="center" shrinkToFit="1"/>
    </xf>
    <xf numFmtId="176" fontId="8" fillId="4" borderId="70" xfId="0" applyNumberFormat="1" applyFont="1" applyFill="1" applyBorder="1" applyAlignment="1">
      <alignment horizontal="center" vertical="center" shrinkToFit="1"/>
    </xf>
    <xf numFmtId="176" fontId="8" fillId="4" borderId="72" xfId="0" applyNumberFormat="1" applyFont="1" applyFill="1" applyBorder="1" applyAlignment="1">
      <alignment horizontal="center" vertical="center" shrinkToFit="1"/>
    </xf>
    <xf numFmtId="176" fontId="8" fillId="4" borderId="73" xfId="0" applyNumberFormat="1" applyFont="1" applyFill="1" applyBorder="1" applyAlignment="1">
      <alignment horizontal="center" vertical="center" shrinkToFit="1"/>
    </xf>
    <xf numFmtId="176" fontId="8" fillId="4" borderId="74" xfId="0" applyNumberFormat="1" applyFont="1" applyFill="1" applyBorder="1" applyAlignment="1">
      <alignment horizontal="center" vertical="center" shrinkToFit="1"/>
    </xf>
    <xf numFmtId="176" fontId="8" fillId="4" borderId="77" xfId="0" applyNumberFormat="1" applyFont="1" applyFill="1" applyBorder="1" applyAlignment="1">
      <alignment horizontal="center" vertical="center" shrinkToFit="1"/>
    </xf>
    <xf numFmtId="176" fontId="8" fillId="4" borderId="63" xfId="0" applyNumberFormat="1" applyFont="1" applyFill="1" applyBorder="1" applyAlignment="1">
      <alignment horizontal="center" vertical="center" shrinkToFit="1"/>
    </xf>
    <xf numFmtId="176" fontId="8" fillId="4" borderId="65" xfId="0" applyNumberFormat="1" applyFont="1" applyFill="1" applyBorder="1" applyAlignment="1">
      <alignment horizontal="center" vertical="center" shrinkToFit="1"/>
    </xf>
    <xf numFmtId="3" fontId="0" fillId="0" borderId="27" xfId="0" applyNumberFormat="1" applyBorder="1" applyAlignment="1">
      <alignment horizontal="right" vertical="center"/>
    </xf>
    <xf numFmtId="49" fontId="0" fillId="0" borderId="9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0" fontId="0" fillId="0" borderId="27" xfId="0" applyBorder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0" fillId="0" borderId="13" xfId="0" applyBorder="1">
      <alignment vertical="center"/>
    </xf>
    <xf numFmtId="3" fontId="0" fillId="0" borderId="27" xfId="0" applyNumberFormat="1" applyBorder="1">
      <alignment vertical="center"/>
    </xf>
    <xf numFmtId="10" fontId="0" fillId="0" borderId="27" xfId="0" applyNumberFormat="1" applyBorder="1">
      <alignment vertical="center"/>
    </xf>
    <xf numFmtId="0" fontId="0" fillId="0" borderId="56" xfId="0" applyBorder="1" applyAlignment="1">
      <alignment horizontal="center" vertical="center"/>
    </xf>
    <xf numFmtId="49" fontId="0" fillId="0" borderId="5" xfId="0" applyNumberFormat="1" applyBorder="1">
      <alignment vertical="center"/>
    </xf>
    <xf numFmtId="49" fontId="0" fillId="0" borderId="9" xfId="0" applyNumberFormat="1" applyBorder="1">
      <alignment vertical="center"/>
    </xf>
    <xf numFmtId="0" fontId="0" fillId="0" borderId="7" xfId="0" applyBorder="1">
      <alignment vertical="center"/>
    </xf>
    <xf numFmtId="0" fontId="0" fillId="0" borderId="78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22" xfId="0" applyBorder="1">
      <alignment vertical="center"/>
    </xf>
    <xf numFmtId="0" fontId="0" fillId="0" borderId="79" xfId="0" applyBorder="1">
      <alignment vertical="center"/>
    </xf>
    <xf numFmtId="0" fontId="0" fillId="0" borderId="55" xfId="0" applyBorder="1">
      <alignment vertical="center"/>
    </xf>
    <xf numFmtId="0" fontId="0" fillId="0" borderId="21" xfId="0" applyBorder="1">
      <alignment vertical="center"/>
    </xf>
    <xf numFmtId="0" fontId="0" fillId="0" borderId="30" xfId="0" applyBorder="1">
      <alignment vertical="center"/>
    </xf>
    <xf numFmtId="0" fontId="0" fillId="0" borderId="52" xfId="0" applyBorder="1">
      <alignment vertical="center"/>
    </xf>
    <xf numFmtId="179" fontId="8" fillId="4" borderId="76" xfId="0" applyNumberFormat="1" applyFont="1" applyFill="1" applyBorder="1" applyAlignment="1">
      <alignment horizontal="center" vertical="center" shrinkToFit="1"/>
    </xf>
    <xf numFmtId="179" fontId="8" fillId="4" borderId="1" xfId="0" applyNumberFormat="1" applyFont="1" applyFill="1" applyBorder="1" applyAlignment="1">
      <alignment horizontal="center" vertical="center" shrinkToFit="1"/>
    </xf>
    <xf numFmtId="179" fontId="2" fillId="0" borderId="30" xfId="0" applyNumberFormat="1" applyFont="1" applyBorder="1" applyAlignment="1">
      <alignment horizontal="center" vertical="center"/>
    </xf>
    <xf numFmtId="179" fontId="2" fillId="0" borderId="32" xfId="0" applyNumberFormat="1" applyFont="1" applyBorder="1" applyAlignment="1">
      <alignment horizontal="center" vertical="center"/>
    </xf>
    <xf numFmtId="179" fontId="2" fillId="0" borderId="28" xfId="0" applyNumberFormat="1" applyFont="1" applyBorder="1" applyAlignment="1">
      <alignment horizontal="center" vertical="center"/>
    </xf>
    <xf numFmtId="179" fontId="0" fillId="0" borderId="4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3" xfId="0" applyNumberFormat="1" applyBorder="1">
      <alignment vertical="center"/>
    </xf>
    <xf numFmtId="179" fontId="0" fillId="0" borderId="11" xfId="0" applyNumberFormat="1" applyBorder="1" applyAlignment="1">
      <alignment horizontal="right" vertical="center"/>
    </xf>
    <xf numFmtId="40" fontId="2" fillId="0" borderId="35" xfId="2" applyNumberFormat="1" applyFon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2" fillId="0" borderId="26" xfId="0" applyNumberFormat="1" applyFont="1" applyBorder="1">
      <alignment vertical="center"/>
    </xf>
    <xf numFmtId="180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38" fontId="0" fillId="0" borderId="33" xfId="2" applyFont="1" applyFill="1" applyBorder="1" applyAlignment="1">
      <alignment horizontal="center" vertical="center"/>
    </xf>
    <xf numFmtId="179" fontId="8" fillId="4" borderId="64" xfId="0" applyNumberFormat="1" applyFont="1" applyFill="1" applyBorder="1" applyAlignment="1">
      <alignment horizontal="right" vertical="center" shrinkToFit="1"/>
    </xf>
    <xf numFmtId="179" fontId="8" fillId="4" borderId="64" xfId="0" applyNumberFormat="1" applyFont="1" applyFill="1" applyBorder="1" applyAlignment="1">
      <alignment vertical="center" shrinkToFit="1"/>
    </xf>
    <xf numFmtId="0" fontId="0" fillId="5" borderId="0" xfId="0" applyFill="1">
      <alignment vertical="center"/>
    </xf>
    <xf numFmtId="3" fontId="0" fillId="0" borderId="32" xfId="0" applyNumberFormat="1" applyBorder="1">
      <alignment vertical="center"/>
    </xf>
    <xf numFmtId="10" fontId="0" fillId="0" borderId="32" xfId="0" applyNumberFormat="1" applyBorder="1">
      <alignment vertical="center"/>
    </xf>
    <xf numFmtId="56" fontId="0" fillId="0" borderId="27" xfId="0" applyNumberFormat="1" applyBorder="1">
      <alignment vertical="center"/>
    </xf>
    <xf numFmtId="56" fontId="0" fillId="0" borderId="32" xfId="0" applyNumberFormat="1" applyBorder="1">
      <alignment vertical="center"/>
    </xf>
    <xf numFmtId="10" fontId="0" fillId="0" borderId="28" xfId="0" applyNumberFormat="1" applyBorder="1">
      <alignment vertical="center"/>
    </xf>
    <xf numFmtId="3" fontId="0" fillId="0" borderId="27" xfId="1" applyNumberFormat="1" applyFont="1" applyBorder="1" applyAlignment="1">
      <alignment vertical="center"/>
    </xf>
    <xf numFmtId="3" fontId="0" fillId="0" borderId="28" xfId="0" applyNumberFormat="1" applyBorder="1">
      <alignment vertical="center"/>
    </xf>
    <xf numFmtId="4" fontId="0" fillId="0" borderId="0" xfId="0" applyNumberFormat="1">
      <alignment vertical="center"/>
    </xf>
    <xf numFmtId="0" fontId="0" fillId="0" borderId="81" xfId="0" applyBorder="1">
      <alignment vertical="center"/>
    </xf>
    <xf numFmtId="49" fontId="0" fillId="0" borderId="82" xfId="0" applyNumberFormat="1" applyBorder="1" applyAlignment="1">
      <alignment vertical="center" wrapText="1"/>
    </xf>
    <xf numFmtId="0" fontId="0" fillId="0" borderId="80" xfId="0" applyBorder="1">
      <alignment vertical="center"/>
    </xf>
    <xf numFmtId="0" fontId="0" fillId="0" borderId="83" xfId="0" applyBorder="1">
      <alignment vertical="center"/>
    </xf>
    <xf numFmtId="176" fontId="8" fillId="0" borderId="0" xfId="0" applyNumberFormat="1" applyFont="1" applyAlignment="1">
      <alignment vertical="center" shrinkToFit="1"/>
    </xf>
    <xf numFmtId="176" fontId="8" fillId="0" borderId="0" xfId="0" applyNumberFormat="1" applyFont="1" applyAlignment="1">
      <alignment horizontal="center" vertical="center" shrinkToFit="1"/>
    </xf>
    <xf numFmtId="179" fontId="8" fillId="0" borderId="0" xfId="0" applyNumberFormat="1" applyFont="1" applyAlignment="1">
      <alignment horizontal="center" vertical="center" shrinkToFit="1"/>
    </xf>
    <xf numFmtId="179" fontId="8" fillId="4" borderId="72" xfId="0" applyNumberFormat="1" applyFont="1" applyFill="1" applyBorder="1" applyAlignment="1">
      <alignment horizontal="center" vertical="center" shrinkToFit="1"/>
    </xf>
    <xf numFmtId="49" fontId="0" fillId="0" borderId="42" xfId="0" applyNumberFormat="1" applyBorder="1" applyAlignment="1">
      <alignment vertical="top" wrapText="1"/>
    </xf>
    <xf numFmtId="0" fontId="0" fillId="6" borderId="27" xfId="0" applyFill="1" applyBorder="1" applyAlignment="1">
      <alignment horizontal="right" vertical="center"/>
    </xf>
    <xf numFmtId="0" fontId="0" fillId="6" borderId="32" xfId="0" applyFill="1" applyBorder="1" applyAlignment="1">
      <alignment horizontal="right" vertical="center"/>
    </xf>
    <xf numFmtId="0" fontId="0" fillId="6" borderId="79" xfId="0" applyFill="1" applyBorder="1" applyAlignment="1">
      <alignment horizontal="right" vertical="center"/>
    </xf>
    <xf numFmtId="0" fontId="0" fillId="6" borderId="3" xfId="0" applyFill="1" applyBorder="1">
      <alignment vertical="center"/>
    </xf>
    <xf numFmtId="0" fontId="0" fillId="6" borderId="7" xfId="0" applyFill="1" applyBorder="1">
      <alignment vertical="center"/>
    </xf>
    <xf numFmtId="9" fontId="0" fillId="6" borderId="46" xfId="0" applyNumberFormat="1" applyFill="1" applyBorder="1" applyAlignment="1">
      <alignment horizontal="center" vertical="center"/>
    </xf>
    <xf numFmtId="0" fontId="0" fillId="6" borderId="38" xfId="0" applyFill="1" applyBorder="1" applyAlignment="1">
      <alignment horizontal="right" vertical="center"/>
    </xf>
    <xf numFmtId="0" fontId="0" fillId="6" borderId="41" xfId="0" applyFill="1" applyBorder="1" applyAlignment="1">
      <alignment horizontal="right" vertical="center"/>
    </xf>
    <xf numFmtId="49" fontId="0" fillId="0" borderId="0" xfId="0" applyNumberFormat="1" applyAlignment="1">
      <alignment vertical="top"/>
    </xf>
    <xf numFmtId="0" fontId="0" fillId="6" borderId="34" xfId="0" applyFill="1" applyBorder="1" applyAlignment="1">
      <alignment horizontal="left" vertical="center"/>
    </xf>
    <xf numFmtId="0" fontId="0" fillId="6" borderId="9" xfId="0" applyFill="1" applyBorder="1" applyAlignment="1">
      <alignment horizontal="right" vertical="center"/>
    </xf>
    <xf numFmtId="0" fontId="0" fillId="6" borderId="9" xfId="0" applyFill="1" applyBorder="1">
      <alignment vertical="center"/>
    </xf>
    <xf numFmtId="0" fontId="0" fillId="6" borderId="13" xfId="0" applyFill="1" applyBorder="1" applyAlignment="1">
      <alignment horizontal="right" vertical="center"/>
    </xf>
    <xf numFmtId="0" fontId="0" fillId="6" borderId="31" xfId="0" applyFill="1" applyBorder="1" applyAlignment="1">
      <alignment horizontal="right" vertical="center"/>
    </xf>
    <xf numFmtId="0" fontId="0" fillId="0" borderId="44" xfId="0" applyBorder="1" applyAlignment="1">
      <alignment horizontal="right" vertical="center" wrapText="1"/>
    </xf>
    <xf numFmtId="49" fontId="0" fillId="0" borderId="45" xfId="0" applyNumberFormat="1" applyBorder="1" applyAlignment="1">
      <alignment vertical="center" wrapText="1"/>
    </xf>
    <xf numFmtId="56" fontId="0" fillId="0" borderId="28" xfId="0" applyNumberFormat="1" applyBorder="1">
      <alignment vertical="center"/>
    </xf>
    <xf numFmtId="0" fontId="0" fillId="0" borderId="28" xfId="0" applyBorder="1" applyAlignment="1">
      <alignment horizontal="right" vertical="center"/>
    </xf>
    <xf numFmtId="0" fontId="10" fillId="0" borderId="0" xfId="3" applyFont="1">
      <alignment vertical="center"/>
    </xf>
    <xf numFmtId="38" fontId="11" fillId="0" borderId="0" xfId="4" applyFont="1">
      <alignment vertical="center"/>
    </xf>
    <xf numFmtId="38" fontId="11" fillId="0" borderId="0" xfId="4" applyFont="1" applyFill="1">
      <alignment vertical="center"/>
    </xf>
    <xf numFmtId="0" fontId="1" fillId="0" borderId="0" xfId="3" applyAlignment="1"/>
    <xf numFmtId="0" fontId="1" fillId="0" borderId="0" xfId="3">
      <alignment vertical="center"/>
    </xf>
    <xf numFmtId="14" fontId="1" fillId="0" borderId="0" xfId="3" applyNumberFormat="1">
      <alignment vertical="center"/>
    </xf>
    <xf numFmtId="49" fontId="5" fillId="7" borderId="57" xfId="3" applyNumberFormat="1" applyFont="1" applyFill="1" applyBorder="1" applyAlignment="1">
      <alignment vertical="top"/>
    </xf>
    <xf numFmtId="0" fontId="5" fillId="7" borderId="45" xfId="3" applyFont="1" applyFill="1" applyBorder="1">
      <alignment vertical="center"/>
    </xf>
    <xf numFmtId="0" fontId="5" fillId="7" borderId="44" xfId="3" applyFont="1" applyFill="1" applyBorder="1">
      <alignment vertical="center"/>
    </xf>
    <xf numFmtId="0" fontId="5" fillId="7" borderId="43" xfId="3" applyFont="1" applyFill="1" applyBorder="1">
      <alignment vertical="center"/>
    </xf>
    <xf numFmtId="49" fontId="5" fillId="7" borderId="48" xfId="3" applyNumberFormat="1" applyFont="1" applyFill="1" applyBorder="1" applyAlignment="1">
      <alignment vertical="top" wrapText="1"/>
    </xf>
    <xf numFmtId="0" fontId="5" fillId="7" borderId="42" xfId="3" applyFont="1" applyFill="1" applyBorder="1">
      <alignment vertical="center"/>
    </xf>
    <xf numFmtId="0" fontId="5" fillId="7" borderId="41" xfId="3" applyFont="1" applyFill="1" applyBorder="1">
      <alignment vertical="center"/>
    </xf>
    <xf numFmtId="0" fontId="5" fillId="7" borderId="40" xfId="3" applyFont="1" applyFill="1" applyBorder="1">
      <alignment vertical="center"/>
    </xf>
    <xf numFmtId="0" fontId="5" fillId="8" borderId="31" xfId="3" applyFont="1" applyFill="1" applyBorder="1">
      <alignment vertical="center"/>
    </xf>
    <xf numFmtId="0" fontId="5" fillId="8" borderId="30" xfId="3" applyFont="1" applyFill="1" applyBorder="1">
      <alignment vertical="center"/>
    </xf>
    <xf numFmtId="0" fontId="5" fillId="8" borderId="85" xfId="3" applyFont="1" applyFill="1" applyBorder="1">
      <alignment vertical="center"/>
    </xf>
    <xf numFmtId="0" fontId="10" fillId="0" borderId="48" xfId="3" applyFont="1" applyBorder="1">
      <alignment vertical="center"/>
    </xf>
    <xf numFmtId="0" fontId="5" fillId="8" borderId="9" xfId="3" applyFont="1" applyFill="1" applyBorder="1">
      <alignment vertical="center"/>
    </xf>
    <xf numFmtId="0" fontId="5" fillId="8" borderId="32" xfId="3" applyFont="1" applyFill="1" applyBorder="1">
      <alignment vertical="center"/>
    </xf>
    <xf numFmtId="0" fontId="5" fillId="8" borderId="18" xfId="3" applyFont="1" applyFill="1" applyBorder="1">
      <alignment vertical="center"/>
    </xf>
    <xf numFmtId="49" fontId="5" fillId="0" borderId="6" xfId="3" applyNumberFormat="1" applyFont="1" applyBorder="1" applyAlignment="1">
      <alignment vertical="top"/>
    </xf>
    <xf numFmtId="0" fontId="5" fillId="0" borderId="42" xfId="3" applyFont="1" applyBorder="1">
      <alignment vertical="center"/>
    </xf>
    <xf numFmtId="0" fontId="5" fillId="0" borderId="41" xfId="3" applyFont="1" applyBorder="1">
      <alignment vertical="center"/>
    </xf>
    <xf numFmtId="0" fontId="5" fillId="0" borderId="40" xfId="3" applyFont="1" applyBorder="1">
      <alignment vertical="center"/>
    </xf>
    <xf numFmtId="49" fontId="5" fillId="0" borderId="7" xfId="3" applyNumberFormat="1" applyFont="1" applyBorder="1" applyAlignment="1">
      <alignment vertical="top"/>
    </xf>
    <xf numFmtId="0" fontId="5" fillId="0" borderId="9" xfId="3" applyFont="1" applyBorder="1">
      <alignment vertical="center"/>
    </xf>
    <xf numFmtId="0" fontId="5" fillId="0" borderId="32" xfId="3" applyFont="1" applyBorder="1">
      <alignment vertical="center"/>
    </xf>
    <xf numFmtId="0" fontId="5" fillId="0" borderId="8" xfId="3" applyFont="1" applyBorder="1">
      <alignment vertical="center"/>
    </xf>
    <xf numFmtId="38" fontId="5" fillId="0" borderId="9" xfId="3" applyNumberFormat="1" applyFont="1" applyBorder="1">
      <alignment vertical="center"/>
    </xf>
    <xf numFmtId="38" fontId="5" fillId="0" borderId="32" xfId="3" applyNumberFormat="1" applyFont="1" applyBorder="1">
      <alignment vertical="center"/>
    </xf>
    <xf numFmtId="0" fontId="5" fillId="0" borderId="30" xfId="3" applyFont="1" applyBorder="1">
      <alignment vertical="center"/>
    </xf>
    <xf numFmtId="49" fontId="5" fillId="0" borderId="87" xfId="3" applyNumberFormat="1" applyFont="1" applyBorder="1" applyAlignment="1">
      <alignment vertical="top"/>
    </xf>
    <xf numFmtId="181" fontId="5" fillId="0" borderId="39" xfId="3" applyNumberFormat="1" applyFont="1" applyBorder="1">
      <alignment vertical="center"/>
    </xf>
    <xf numFmtId="181" fontId="5" fillId="0" borderId="38" xfId="3" applyNumberFormat="1" applyFont="1" applyBorder="1">
      <alignment vertical="center"/>
    </xf>
    <xf numFmtId="181" fontId="5" fillId="0" borderId="27" xfId="3" applyNumberFormat="1" applyFont="1" applyBorder="1">
      <alignment vertical="center"/>
    </xf>
    <xf numFmtId="0" fontId="5" fillId="0" borderId="37" xfId="3" applyFont="1" applyBorder="1">
      <alignment vertical="center"/>
    </xf>
    <xf numFmtId="38" fontId="11" fillId="0" borderId="0" xfId="4" applyFont="1" applyBorder="1" applyAlignment="1" applyProtection="1">
      <alignment horizontal="center" vertical="center"/>
    </xf>
    <xf numFmtId="38" fontId="11" fillId="0" borderId="0" xfId="4" applyFont="1" applyBorder="1" applyAlignment="1">
      <alignment vertical="center" wrapText="1"/>
    </xf>
    <xf numFmtId="38" fontId="11" fillId="0" borderId="88" xfId="4" applyFont="1" applyBorder="1" applyProtection="1">
      <alignment vertical="center"/>
    </xf>
    <xf numFmtId="38" fontId="11" fillId="0" borderId="56" xfId="4" applyFont="1" applyBorder="1" applyAlignment="1">
      <alignment vertical="center" wrapText="1"/>
    </xf>
    <xf numFmtId="38" fontId="11" fillId="0" borderId="84" xfId="4" applyFont="1" applyBorder="1" applyProtection="1">
      <alignment vertical="center"/>
    </xf>
    <xf numFmtId="38" fontId="11" fillId="0" borderId="84" xfId="4" applyFont="1" applyBorder="1" applyAlignment="1">
      <alignment vertical="center" wrapText="1"/>
    </xf>
    <xf numFmtId="38" fontId="11" fillId="0" borderId="6" xfId="4" applyFont="1" applyBorder="1" applyProtection="1">
      <alignment vertical="center"/>
    </xf>
    <xf numFmtId="38" fontId="11" fillId="0" borderId="6" xfId="4" applyFont="1" applyFill="1" applyBorder="1" applyAlignment="1">
      <alignment vertical="center" wrapText="1"/>
    </xf>
    <xf numFmtId="38" fontId="11" fillId="0" borderId="10" xfId="4" applyFont="1" applyBorder="1">
      <alignment vertical="center"/>
    </xf>
    <xf numFmtId="0" fontId="11" fillId="0" borderId="10" xfId="3" applyFont="1" applyBorder="1" applyAlignment="1">
      <alignment vertical="center" wrapText="1"/>
    </xf>
    <xf numFmtId="38" fontId="11" fillId="0" borderId="6" xfId="4" applyFont="1" applyFill="1" applyBorder="1" applyProtection="1">
      <alignment vertical="center"/>
    </xf>
    <xf numFmtId="0" fontId="11" fillId="0" borderId="6" xfId="3" applyFont="1" applyBorder="1" applyAlignment="1">
      <alignment vertical="center" wrapText="1"/>
    </xf>
    <xf numFmtId="38" fontId="11" fillId="9" borderId="84" xfId="4" applyFont="1" applyFill="1" applyBorder="1">
      <alignment vertical="center"/>
    </xf>
    <xf numFmtId="0" fontId="11" fillId="0" borderId="84" xfId="3" applyFont="1" applyBorder="1" applyAlignment="1">
      <alignment vertical="center" wrapText="1"/>
    </xf>
    <xf numFmtId="0" fontId="10" fillId="0" borderId="0" xfId="3" applyFont="1" applyAlignment="1">
      <alignment horizontal="right" vertical="center"/>
    </xf>
    <xf numFmtId="38" fontId="11" fillId="0" borderId="10" xfId="4" applyFont="1" applyBorder="1" applyProtection="1">
      <alignment vertical="center"/>
    </xf>
    <xf numFmtId="0" fontId="11" fillId="0" borderId="0" xfId="3" applyFont="1" applyAlignment="1">
      <alignment vertical="center" wrapText="1"/>
    </xf>
    <xf numFmtId="38" fontId="11" fillId="9" borderId="10" xfId="4" applyFont="1" applyFill="1" applyBorder="1">
      <alignment vertical="center"/>
    </xf>
    <xf numFmtId="38" fontId="11" fillId="0" borderId="10" xfId="4" applyFont="1" applyFill="1" applyBorder="1" applyAlignment="1">
      <alignment vertical="center" wrapText="1"/>
    </xf>
    <xf numFmtId="38" fontId="11" fillId="9" borderId="6" xfId="4" applyFont="1" applyFill="1" applyBorder="1">
      <alignment vertical="center"/>
    </xf>
    <xf numFmtId="0" fontId="11" fillId="0" borderId="84" xfId="3" applyFont="1" applyBorder="1">
      <alignment vertical="center"/>
    </xf>
    <xf numFmtId="181" fontId="11" fillId="9" borderId="2" xfId="3" applyNumberFormat="1" applyFont="1" applyFill="1" applyBorder="1">
      <alignment vertical="center"/>
    </xf>
    <xf numFmtId="0" fontId="10" fillId="0" borderId="15" xfId="3" applyFont="1" applyBorder="1" applyAlignment="1">
      <alignment vertical="center" wrapText="1"/>
    </xf>
    <xf numFmtId="0" fontId="13" fillId="0" borderId="0" xfId="3" applyFont="1">
      <alignment vertical="center"/>
    </xf>
    <xf numFmtId="0" fontId="0" fillId="10" borderId="49" xfId="0" applyFill="1" applyBorder="1">
      <alignment vertical="center"/>
    </xf>
    <xf numFmtId="21" fontId="0" fillId="10" borderId="49" xfId="0" applyNumberFormat="1" applyFill="1" applyBorder="1">
      <alignment vertical="center"/>
    </xf>
    <xf numFmtId="0" fontId="0" fillId="0" borderId="89" xfId="0" applyBorder="1">
      <alignment vertical="center"/>
    </xf>
    <xf numFmtId="0" fontId="0" fillId="0" borderId="90" xfId="0" applyBorder="1">
      <alignment vertical="center"/>
    </xf>
    <xf numFmtId="0" fontId="0" fillId="0" borderId="91" xfId="0" applyBorder="1">
      <alignment vertical="center"/>
    </xf>
    <xf numFmtId="176" fontId="2" fillId="0" borderId="19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2" fillId="0" borderId="50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51" xfId="0" applyNumberFormat="1" applyFont="1" applyBorder="1" applyAlignment="1">
      <alignment horizontal="right" vertical="center"/>
    </xf>
    <xf numFmtId="176" fontId="2" fillId="0" borderId="11" xfId="0" applyNumberFormat="1" applyFon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53" xfId="0" applyNumberFormat="1" applyBorder="1" applyAlignment="1">
      <alignment horizontal="right" vertical="center"/>
    </xf>
    <xf numFmtId="176" fontId="0" fillId="0" borderId="54" xfId="0" applyNumberFormat="1" applyBorder="1" applyAlignment="1">
      <alignment horizontal="right" vertical="center"/>
    </xf>
    <xf numFmtId="176" fontId="0" fillId="0" borderId="53" xfId="0" applyNumberFormat="1" applyBorder="1" applyAlignment="1">
      <alignment horizontal="center" vertical="center"/>
    </xf>
    <xf numFmtId="176" fontId="0" fillId="0" borderId="22" xfId="0" applyNumberFormat="1" applyBorder="1" applyAlignment="1">
      <alignment horizontal="right" vertical="center"/>
    </xf>
    <xf numFmtId="176" fontId="0" fillId="0" borderId="55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48" xfId="0" applyNumberFormat="1" applyBorder="1" applyAlignment="1">
      <alignment horizontal="right" vertical="center"/>
    </xf>
    <xf numFmtId="176" fontId="0" fillId="0" borderId="56" xfId="0" applyNumberFormat="1" applyBorder="1" applyAlignment="1">
      <alignment horizontal="right" vertical="center"/>
    </xf>
    <xf numFmtId="176" fontId="0" fillId="0" borderId="57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176" fontId="2" fillId="0" borderId="8" xfId="0" applyNumberFormat="1" applyFont="1" applyBorder="1">
      <alignment vertical="center"/>
    </xf>
    <xf numFmtId="176" fontId="2" fillId="0" borderId="50" xfId="0" applyNumberFormat="1" applyFont="1" applyBorder="1">
      <alignment vertical="center"/>
    </xf>
    <xf numFmtId="176" fontId="2" fillId="0" borderId="12" xfId="0" applyNumberFormat="1" applyFont="1" applyBorder="1">
      <alignment vertical="center"/>
    </xf>
    <xf numFmtId="176" fontId="2" fillId="0" borderId="51" xfId="0" applyNumberFormat="1" applyFont="1" applyBorder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2" fillId="0" borderId="29" xfId="0" applyNumberFormat="1" applyFont="1" applyBorder="1">
      <alignment vertical="center"/>
    </xf>
    <xf numFmtId="176" fontId="2" fillId="0" borderId="58" xfId="0" applyNumberFormat="1" applyFont="1" applyBorder="1">
      <alignment vertical="center"/>
    </xf>
    <xf numFmtId="0" fontId="2" fillId="6" borderId="37" xfId="0" applyFont="1" applyFill="1" applyBorder="1" applyAlignment="1">
      <alignment horizontal="center" vertical="center"/>
    </xf>
    <xf numFmtId="0" fontId="2" fillId="6" borderId="43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20" fontId="0" fillId="2" borderId="14" xfId="0" applyNumberFormat="1" applyFill="1" applyBorder="1" applyAlignment="1">
      <alignment horizontal="center" vertical="center"/>
    </xf>
    <xf numFmtId="20" fontId="0" fillId="2" borderId="24" xfId="0" applyNumberFormat="1" applyFill="1" applyBorder="1" applyAlignment="1">
      <alignment horizontal="center" vertical="center"/>
    </xf>
    <xf numFmtId="20" fontId="0" fillId="2" borderId="25" xfId="0" applyNumberFormat="1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176" fontId="8" fillId="4" borderId="63" xfId="0" applyNumberFormat="1" applyFont="1" applyFill="1" applyBorder="1" applyAlignment="1">
      <alignment vertical="center" shrinkToFit="1"/>
    </xf>
    <xf numFmtId="176" fontId="8" fillId="4" borderId="64" xfId="0" applyNumberFormat="1" applyFont="1" applyFill="1" applyBorder="1" applyAlignment="1">
      <alignment vertical="center" shrinkToFit="1"/>
    </xf>
    <xf numFmtId="176" fontId="8" fillId="4" borderId="70" xfId="0" applyNumberFormat="1" applyFont="1" applyFill="1" applyBorder="1" applyAlignment="1">
      <alignment vertical="center" shrinkToFit="1"/>
    </xf>
    <xf numFmtId="176" fontId="8" fillId="4" borderId="71" xfId="0" applyNumberFormat="1" applyFont="1" applyFill="1" applyBorder="1" applyAlignment="1">
      <alignment vertical="center" shrinkToFit="1"/>
    </xf>
    <xf numFmtId="0" fontId="8" fillId="4" borderId="59" xfId="0" applyFont="1" applyFill="1" applyBorder="1" applyAlignment="1">
      <alignment horizontal="center" vertical="center" shrinkToFit="1"/>
    </xf>
    <xf numFmtId="0" fontId="8" fillId="4" borderId="61" xfId="0" applyFont="1" applyFill="1" applyBorder="1" applyAlignment="1">
      <alignment horizontal="center" vertical="center" shrinkToFit="1"/>
    </xf>
    <xf numFmtId="0" fontId="8" fillId="4" borderId="62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8" fillId="4" borderId="68" xfId="0" applyFont="1" applyFill="1" applyBorder="1" applyAlignment="1">
      <alignment horizontal="center" vertical="center" shrinkToFit="1"/>
    </xf>
    <xf numFmtId="0" fontId="8" fillId="4" borderId="60" xfId="0" applyFont="1" applyFill="1" applyBorder="1" applyAlignment="1">
      <alignment horizontal="center" vertical="center" shrinkToFit="1"/>
    </xf>
    <xf numFmtId="0" fontId="8" fillId="4" borderId="70" xfId="0" applyFont="1" applyFill="1" applyBorder="1" applyAlignment="1">
      <alignment horizontal="center" vertical="center" shrinkToFit="1"/>
    </xf>
    <xf numFmtId="0" fontId="8" fillId="4" borderId="71" xfId="0" applyFont="1" applyFill="1" applyBorder="1" applyAlignment="1">
      <alignment horizontal="center" vertical="center" shrinkToFit="1"/>
    </xf>
    <xf numFmtId="176" fontId="8" fillId="4" borderId="74" xfId="0" applyNumberFormat="1" applyFont="1" applyFill="1" applyBorder="1" applyAlignment="1">
      <alignment vertical="center" shrinkToFit="1"/>
    </xf>
    <xf numFmtId="176" fontId="8" fillId="4" borderId="75" xfId="0" applyNumberFormat="1" applyFont="1" applyFill="1" applyBorder="1" applyAlignment="1">
      <alignment vertical="center" shrinkToFit="1"/>
    </xf>
    <xf numFmtId="49" fontId="5" fillId="8" borderId="86" xfId="3" applyNumberFormat="1" applyFont="1" applyFill="1" applyBorder="1" applyAlignment="1">
      <alignment horizontal="left" vertical="center" wrapText="1"/>
    </xf>
    <xf numFmtId="49" fontId="5" fillId="8" borderId="84" xfId="3" applyNumberFormat="1" applyFont="1" applyFill="1" applyBorder="1" applyAlignment="1">
      <alignment horizontal="left" vertical="center" wrapText="1"/>
    </xf>
  </cellXfs>
  <cellStyles count="5">
    <cellStyle name="パーセント" xfId="1" builtinId="5"/>
    <cellStyle name="桁区切り" xfId="2" builtinId="6"/>
    <cellStyle name="桁区切り 2" xfId="4" xr:uid="{6209EDD7-7DF4-4DD9-B76F-352FE979DA35}"/>
    <cellStyle name="標準" xfId="0" builtinId="0"/>
    <cellStyle name="標準 2" xfId="3" xr:uid="{90A89C8B-D1D5-438B-B1FC-C8C4391A7DD7}"/>
  </cellStyles>
  <dxfs count="102"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mruColors>
      <color rgb="FFA4F8F2"/>
      <color rgb="FFCCFFFF"/>
      <color rgb="FF66FFFF"/>
      <color rgb="FFCCFFCC"/>
      <color rgb="FF777777"/>
      <color rgb="FF80808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e">
        <v>#N/A</v>
        <stp/>
        <stp>QUOTE</stp>
        <stp>8609</stp>
        <stp/>
        <stp>年初来高値日付</stp>
        <tr r="F13" s="5"/>
      </tp>
      <tp t="e">
        <v>#N/A</v>
        <stp/>
        <stp>QUOTE</stp>
        <stp>8609</stp>
        <stp/>
        <stp>年初来安値日付</stp>
        <tr r="F16" s="5"/>
      </tp>
      <tp t="e">
        <v>#N/A</v>
        <stp/>
        <stp>QUOTE</stp>
        <stp>8609</stp>
        <stp/>
        <stp>後場安値</stp>
        <tr r="D9" s="5"/>
      </tp>
      <tp t="e">
        <v>#N/A</v>
        <stp/>
        <stp>QUOTE</stp>
        <stp>8609</stp>
        <stp/>
        <stp>前場安値</stp>
        <tr r="B9" s="5"/>
      </tp>
      <tp t="e">
        <v>#N/A</v>
        <stp/>
        <stp>QUOTE</stp>
        <stp>8609</stp>
        <stp/>
        <stp>後場始値</stp>
        <tr r="D7" s="5"/>
      </tp>
      <tp t="e">
        <v>#N/A</v>
        <stp/>
        <stp>QUOTE</stp>
        <stp>8609</stp>
        <stp/>
        <stp>前場始値</stp>
        <tr r="B7" s="5"/>
      </tp>
    </main>
    <main first="oson2.rtdserver2">
      <tp t="e">
        <v>#N/A</v>
        <stp/>
        <stp>歩み値</stp>
        <stp>=TICK($L$2,$L$3,$L$4,"買気配値",H3)</stp>
        <tr r="N8" s="8"/>
      </tp>
      <tp t="e">
        <v>#N/A</v>
        <stp/>
        <stp>歩み値</stp>
        <stp>=TICK($L$2,$L$3,$L$4,"約定時刻",A3)</stp>
        <tr r="N1" s="8"/>
      </tp>
      <tp t="e">
        <v>#N/A</v>
        <stp/>
        <stp>歩み値</stp>
        <stp>=TICK($L$2,$L$3,$L$4,"売気配値",F3)</stp>
        <tr r="N6" s="8"/>
      </tp>
    </main>
    <main first="oson2.rtdserver">
      <tp t="e">
        <v>#N/A</v>
        <stp/>
        <stp>QUOTE</stp>
        <stp>8609</stp>
        <stp/>
        <stp>安値時刻</stp>
        <tr r="G9" s="5"/>
      </tp>
      <tp t="e">
        <v>#N/A</v>
        <stp/>
        <stp>QUOTE</stp>
        <stp>8609</stp>
        <stp/>
        <stp>始値時刻</stp>
        <tr r="G7" s="5"/>
      </tp>
      <tp t="e">
        <v>#N/A</v>
        <stp/>
        <stp>QUOTE</stp>
        <stp>8609</stp>
        <stp/>
        <stp>高値時刻</stp>
        <tr r="G8" s="5"/>
      </tp>
    </main>
    <main first="oson2.rtdserver2">
      <tp t="e">
        <v>#N/A</v>
        <stp/>
        <stp>注文照会</stp>
        <stp>=ORDQUERY("4",X3,X4)</stp>
        <tr r="X1" s="9"/>
      </tp>
      <tp t="e">
        <v>#N/A</v>
        <stp/>
        <stp>四本値</stp>
        <stp>=candle($K$2,$K$3,$K$4,$K$5,"市場コード",A3,$K$6,$K$7)</stp>
        <tr r="M1" s="7"/>
      </tp>
      <tp t="e">
        <v>#N/A</v>
        <stp/>
        <stp>注文照会</stp>
        <stp>=ORDQUERY("4",Q3,Q4)</stp>
        <tr r="Q1" s="9"/>
      </tp>
      <tp t="e">
        <v>#N/A</v>
        <stp/>
        <stp>注文照会</stp>
        <stp>=ORDQUERY("4",P3,P4)</stp>
        <tr r="P1" s="9"/>
      </tp>
      <tp t="e">
        <v>#N/A</v>
        <stp/>
        <stp>四本値</stp>
        <stp>=candle($K$2,$K$3,$K$4,$K$5,"約定時刻",C3,$K$6,$K$7)</stp>
        <tr r="M3" s="7"/>
      </tp>
    </main>
    <main first="oson2.rtdserver">
      <tp t="e">
        <v>#N/A</v>
        <stp/>
        <stp>QUOTE</stp>
        <stp>8609</stp>
        <stp/>
        <stp>HV</stp>
        <tr r="D5" s="5"/>
      </tp>
    </main>
    <main first="oson2.rtdserver2">
      <tp t="e">
        <v>#N/A</v>
        <stp/>
        <stp>注文照会</stp>
        <stp>=ORDQUERY("4",S3,S4)</stp>
        <tr r="S1" s="9"/>
      </tp>
    </main>
    <main first="oson2.rtdserver">
      <tp t="e">
        <v>#N/A</v>
        <stp/>
        <stp>QUOTE</stp>
        <stp>8609</stp>
        <stp/>
        <stp>後場終値</stp>
        <tr r="D10" s="5"/>
      </tp>
      <tp t="e">
        <v>#N/A</v>
        <stp/>
        <stp>QUOTE</stp>
        <stp>8609</stp>
        <stp/>
        <stp>前場終値</stp>
        <tr r="B10" s="5"/>
      </tp>
    </main>
    <main first="oson2.rtdserver2">
      <tp t="e">
        <v>#N/A</v>
        <stp/>
        <stp>注文照会</stp>
        <stp>=ORDQUERY("4",R3,R4)</stp>
        <tr r="R1" s="9"/>
      </tp>
      <tp t="e">
        <v>#N/A</v>
        <stp/>
        <stp>注文照会</stp>
        <stp>=ORDQUERY("4",U3,U4)</stp>
        <tr r="U1" s="9"/>
      </tp>
    </main>
    <main first="oson2.rtdserver">
      <tp t="e">
        <v>#N/A</v>
        <stp/>
        <stp>BOARD</stp>
        <stp>8609</stp>
        <stp/>
        <stp>売気配数量12</stp>
        <tr r="C22" s="6"/>
      </tp>
      <tp t="e">
        <v>#N/A</v>
        <stp/>
        <stp>BOARD</stp>
        <stp>8609</stp>
        <stp/>
        <stp>売気配数量13</stp>
        <tr r="C23" s="6"/>
      </tp>
      <tp t="e">
        <v>#N/A</v>
        <stp/>
        <stp>BOARD</stp>
        <stp>8609</stp>
        <stp/>
        <stp>売気配数量10</stp>
        <tr r="C20" s="6"/>
      </tp>
      <tp t="e">
        <v>#N/A</v>
        <stp/>
        <stp>BOARD</stp>
        <stp>8609</stp>
        <stp/>
        <stp>売気配数量11</stp>
        <tr r="C21" s="6"/>
      </tp>
      <tp t="e">
        <v>#N/A</v>
        <stp/>
        <stp>BOARD</stp>
        <stp>8609</stp>
        <stp/>
        <stp>売気配数量-2</stp>
        <tr r="C8" s="6"/>
      </tp>
      <tp t="e">
        <v>#N/A</v>
        <stp/>
        <stp>BOARD</stp>
        <stp>8609</stp>
        <stp/>
        <stp>売気配数量-1</stp>
        <tr r="C9" s="6"/>
      </tp>
    </main>
    <main first="oson2.rtdserver2">
      <tp t="e">
        <v>#N/A</v>
        <stp/>
        <stp>注文照会</stp>
        <stp>=ORDQUERY("4",T3,T4)</stp>
        <tr r="T1" s="9"/>
      </tp>
      <tp t="e">
        <v>#N/A</v>
        <stp/>
        <stp>注文照会</stp>
        <stp>=ORDQUERY("4",W3,W4)</stp>
        <tr r="W1" s="9"/>
      </tp>
    </main>
    <main first="oson2.rtdserver">
      <tp t="e">
        <v>#N/A</v>
        <stp/>
        <stp>QUOTE</stp>
        <stp>8609</stp>
        <stp/>
        <stp>年初来安値</stp>
        <tr r="F15" s="5"/>
      </tp>
      <tp t="e">
        <v>#N/A</v>
        <stp/>
        <stp>QUOTE</stp>
        <stp>8609</stp>
        <stp/>
        <stp>5年来安値</stp>
        <tr r="B15" s="5"/>
      </tp>
    </main>
    <main first="oson2.rtdserver2">
      <tp t="e">
        <v>#N/A</v>
        <stp/>
        <stp>注文照会</stp>
        <stp>=ORDQUERY("4",V3,V4)</stp>
        <tr r="V1" s="9"/>
      </tp>
      <tp t="e">
        <v>#N/A</v>
        <stp/>
        <stp>注文照会</stp>
        <stp>=ORDQUERY("4",I3,I4)</stp>
        <tr r="I1" s="9"/>
      </tp>
      <tp t="e">
        <v>#N/A</v>
        <stp/>
        <stp>注文照会</stp>
        <stp>=ORDQUERY("4",H3,H4)</stp>
        <tr r="H1" s="9"/>
      </tp>
      <tp t="e">
        <v>#N/A</v>
        <stp/>
        <stp>注文照会</stp>
        <stp>=ORDQUERY("4",K3,K4)</stp>
        <tr r="K1" s="9"/>
      </tp>
    </main>
    <main first="oson2.rtdserver">
      <tp t="e">
        <v>#N/A</v>
        <stp/>
        <stp>QUOTE</stp>
        <stp>8609</stp>
        <stp/>
        <stp>後場高値時間</stp>
        <tr r="E8" s="5"/>
      </tp>
      <tp t="e">
        <v>#N/A</v>
        <stp/>
        <stp>QUOTE</stp>
        <stp>8609</stp>
        <stp/>
        <stp>後場始値時間</stp>
        <tr r="E7" s="5"/>
      </tp>
      <tp t="e">
        <v>#N/A</v>
        <stp/>
        <stp>QUOTE</stp>
        <stp>8609</stp>
        <stp/>
        <stp>後場安値時間</stp>
        <tr r="E9" s="5"/>
      </tp>
      <tp t="e">
        <v>#N/A</v>
        <stp/>
        <stp>QUOTE</stp>
        <stp>8609</stp>
        <stp/>
        <stp>後場終値時間</stp>
        <tr r="E10" s="5"/>
      </tp>
    </main>
    <main first="oson2.rtdserver2">
      <tp t="e">
        <v>#N/A</v>
        <stp/>
        <stp>注文照会</stp>
        <stp>=ORDQUERY("4",J3,J4)</stp>
        <tr r="J1" s="9"/>
      </tp>
      <tp t="e">
        <v>#N/A</v>
        <stp/>
        <stp>歩み値</stp>
        <stp>=TICK($L$2,$L$3,$L$4,"現在値",B3)</stp>
        <tr r="N2" s="8"/>
      </tp>
      <tp t="e">
        <v>#N/A</v>
        <stp/>
        <stp>注文照会</stp>
        <stp>=ORDQUERY("4",M3,M4)</stp>
        <tr r="M1" s="9"/>
      </tp>
    </main>
    <main first="oson2.rtdserver">
      <tp t="e">
        <v>#N/A</v>
        <stp/>
        <stp>QUOTE</stp>
        <stp>8609</stp>
        <stp/>
        <stp>VWAP</stp>
        <tr r="G4" s="5"/>
      </tp>
    </main>
    <main first="oson2.rtdserver2">
      <tp t="e">
        <v>#N/A</v>
        <stp/>
        <stp>注文照会</stp>
        <stp>=ORDQUERY("4",L3,L4)</stp>
        <tr r="L1" s="9"/>
      </tp>
      <tp t="e">
        <v>#N/A</v>
        <stp/>
        <stp>注文照会</stp>
        <stp>=ORDQUERY("4",O3,O4)</stp>
        <tr r="O1" s="9"/>
      </tp>
      <tp t="e">
        <v>#N/A</v>
        <stp/>
        <stp>注文照会</stp>
        <stp>=ORDQUERY("4",N3,N4)</stp>
        <tr r="N1" s="9"/>
      </tp>
      <tp t="e">
        <v>#N/A</v>
        <stp/>
        <stp>注文照会</stp>
        <stp>=ORDQUERY("4",A3,A4)</stp>
        <tr r="A1" s="9"/>
      </tp>
    </main>
    <main first="oson2.rtdserver">
      <tp t="e">
        <v>#N/A</v>
        <stp/>
        <stp>BOARD</stp>
        <stp>8609</stp>
        <stp/>
        <stp>気配値-2</stp>
        <tr r="D8" s="6"/>
      </tp>
      <tp t="e">
        <v>#N/A</v>
        <stp/>
        <stp>BOARD</stp>
        <stp>8609</stp>
        <stp/>
        <stp>気配値-1</stp>
        <tr r="D9" s="6"/>
      </tp>
      <tp t="e">
        <v>#N/A</v>
        <stp/>
        <stp>BOARD</stp>
        <stp>8609</stp>
        <stp/>
        <stp>気配値13</stp>
        <tr r="D23" s="6"/>
      </tp>
      <tp t="e">
        <v>#N/A</v>
        <stp/>
        <stp>BOARD</stp>
        <stp>8609</stp>
        <stp/>
        <stp>気配値12</stp>
        <tr r="D22" s="6"/>
      </tp>
      <tp t="e">
        <v>#N/A</v>
        <stp/>
        <stp>BOARD</stp>
        <stp>8609</stp>
        <stp/>
        <stp>気配値11</stp>
        <tr r="D21" s="6"/>
      </tp>
      <tp t="e">
        <v>#N/A</v>
        <stp/>
        <stp>BOARD</stp>
        <stp>8609</stp>
        <stp/>
        <stp>気配値10</stp>
        <tr r="D20" s="6"/>
      </tp>
    </main>
    <main first="oson2.rtdserver2">
      <tp t="e">
        <v>#N/A</v>
        <stp/>
        <stp>注文照会</stp>
        <stp>=ORDQUERY("4",C3,C4)</stp>
        <tr r="C1" s="9"/>
      </tp>
      <tp t="e">
        <v>#N/A</v>
        <stp/>
        <stp>注文照会</stp>
        <stp>=ORDQUERY("4",B3,B4)</stp>
        <tr r="B1" s="9"/>
      </tp>
      <tp t="e">
        <v>#N/A</v>
        <stp/>
        <stp>注文照会</stp>
        <stp>=ORDQUERY("4",E3,E4)</stp>
        <tr r="E1" s="9"/>
      </tp>
      <tp t="e">
        <v>#N/A</v>
        <stp/>
        <stp>注文照会</stp>
        <stp>=ORDQUERY("4",D3,D4)</stp>
        <tr r="D1" s="9"/>
      </tp>
      <tp t="e">
        <v>#N/A</v>
        <stp/>
        <stp>注文照会</stp>
        <stp>=ORDQUERY("4",G3,G4)</stp>
        <tr r="G1" s="9"/>
      </tp>
    </main>
    <main first="oson2.rtdserver">
      <tp t="e">
        <v>#N/A</v>
        <stp/>
        <stp>QUOTE</stp>
        <stp>8609</stp>
        <stp/>
        <stp>前場高値時間</stp>
        <tr r="C8" s="5"/>
      </tp>
      <tp t="e">
        <v>#N/A</v>
        <stp/>
        <stp>QUOTE</stp>
        <stp>8609</stp>
        <stp/>
        <stp>前場始値時間</stp>
        <tr r="C7" s="5"/>
      </tp>
      <tp t="e">
        <v>#N/A</v>
        <stp/>
        <stp>QUOTE</stp>
        <stp>8609</stp>
        <stp/>
        <stp>前場安値時間</stp>
        <tr r="C9" s="5"/>
      </tp>
      <tp t="e">
        <v>#N/A</v>
        <stp/>
        <stp>QUOTE</stp>
        <stp>8609</stp>
        <stp/>
        <stp>前場終値時間</stp>
        <tr r="C10" s="5"/>
      </tp>
    </main>
    <main first="oson2.rtdserver2">
      <tp t="e">
        <v>#N/A</v>
        <stp/>
        <stp>四本値</stp>
        <stp>=candle($K$2,$K$3,$K$4,$K$5,"高値",E3,$K$6,$K$7)</stp>
        <tr r="M5" s="7"/>
      </tp>
    </main>
    <main first="oson2.rtdserver">
      <tp t="e">
        <v>#N/A</v>
        <stp/>
        <stp>QUOTE</stp>
        <stp>8609</stp>
        <stp/>
        <stp>PBR</stp>
        <tr r="D15" s="5"/>
      </tp>
      <tp t="e">
        <v>#N/A</v>
        <stp/>
        <stp>QUOTE</stp>
        <stp>8609</stp>
        <stp/>
        <stp>PER</stp>
        <tr r="D16" s="5"/>
      </tp>
    </main>
    <main first="oson2.rtdserver2">
      <tp t="e">
        <v>#N/A</v>
        <stp/>
        <stp>注文照会</stp>
        <stp>=ORDQUERY("4",F3,F4)</stp>
        <tr r="F1" s="9"/>
      </tp>
      <tp t="e">
        <v>#N/A</v>
        <stp/>
        <stp>四本値</stp>
        <stp>=candle($K$2,$K$3,$K$4,$K$5,"安値",F3,$K$6,$K$7)</stp>
        <tr r="M6" s="7"/>
      </tp>
      <tp t="e">
        <v>#N/A</v>
        <stp/>
        <stp>四本値</stp>
        <stp>=candle($K$2,$K$3,$K$4,$K$5,"始値",D3,$K$6,$K$7)</stp>
        <tr r="M4" s="7"/>
      </tp>
      <tp t="e">
        <v>#N/A</v>
        <stp/>
        <stp>四本値</stp>
        <stp>=candle($K$2,$K$3,$K$4,$K$5,"終値",G3,$K$6,$K$7)</stp>
        <tr r="M7" s="7"/>
      </tp>
    </main>
    <main first="oson2.rtdserver">
      <tp t="e">
        <v>#N/A</v>
        <stp/>
        <stp>BOARD</stp>
        <stp>8609</stp>
        <stp/>
        <stp>買気配数量8</stp>
        <tr r="E18" s="6"/>
      </tp>
      <tp t="e">
        <v>#N/A</v>
        <stp/>
        <stp>BOARD</stp>
        <stp>8609</stp>
        <stp/>
        <stp>買気配数量9</stp>
        <tr r="E19" s="6"/>
      </tp>
      <tp t="e">
        <v>#N/A</v>
        <stp/>
        <stp>BOARD</stp>
        <stp>8609</stp>
        <stp/>
        <stp>買気配数量6</stp>
        <tr r="E16" s="6"/>
      </tp>
      <tp t="e">
        <v>#N/A</v>
        <stp/>
        <stp>BOARD</stp>
        <stp>8609</stp>
        <stp/>
        <stp>買気配数量7</stp>
        <tr r="E17" s="6"/>
      </tp>
      <tp t="e">
        <v>#N/A</v>
        <stp/>
        <stp>BOARD</stp>
        <stp>8609</stp>
        <stp/>
        <stp>買気配数量4</stp>
        <tr r="E14" s="6"/>
      </tp>
      <tp t="e">
        <v>#N/A</v>
        <stp/>
        <stp>BOARD</stp>
        <stp>8609</stp>
        <stp/>
        <stp>買気配数量5</stp>
        <tr r="E15" s="6"/>
      </tp>
      <tp t="e">
        <v>#N/A</v>
        <stp/>
        <stp>BOARD</stp>
        <stp>8609</stp>
        <stp/>
        <stp>買気配数量2</stp>
        <tr r="E12" s="6"/>
      </tp>
      <tp t="e">
        <v>#N/A</v>
        <stp/>
        <stp>BOARD</stp>
        <stp>8609</stp>
        <stp/>
        <stp>買気配数量3</stp>
        <tr r="E13" s="6"/>
      </tp>
      <tp t="e">
        <v>#N/A</v>
        <stp/>
        <stp>BOARD</stp>
        <stp>8609</stp>
        <stp/>
        <stp>買気配数量0</stp>
        <tr r="E10" s="6"/>
      </tp>
      <tp t="e">
        <v>#N/A</v>
        <stp/>
        <stp>BOARD</stp>
        <stp>8609</stp>
        <stp/>
        <stp>買気配数量1</stp>
        <tr r="E11" s="6"/>
      </tp>
      <tp t="e">
        <v>#N/A</v>
        <stp/>
        <stp>QUOTE</stp>
        <stp>8609</stp>
        <stp/>
        <stp>5年来高値日付</stp>
        <tr r="B13" s="5"/>
      </tp>
      <tp t="e">
        <v>#N/A</v>
        <stp/>
        <stp>QUOTE</stp>
        <stp>8609</stp>
        <stp/>
        <stp>5年来安値日付</stp>
        <tr r="B16" s="5"/>
      </tp>
      <tp t="e">
        <v>#N/A</v>
        <stp/>
        <stp>QUOTE</stp>
        <stp>8609</stp>
        <stp/>
        <stp>前日比</stp>
        <tr r="D3" s="5"/>
        <tr r="D3" s="6"/>
      </tp>
    </main>
    <main first="oson2.rtdserver2">
      <tp t="e">
        <v>#N/A</v>
        <stp/>
        <stp>歩み値</stp>
        <stp>=TICK($L$2,$L$3,$L$4,"VWAP",I3)</stp>
        <tr r="N9" s="8"/>
      </tp>
      <tp t="e">
        <v>#N/A</v>
        <stp/>
        <stp>保有(手動)</stp>
        <stp>=POSITION_M("","0",A3,A4)</stp>
        <tr r="A1" s="13"/>
      </tp>
      <tp t="e">
        <v>#N/A</v>
        <stp/>
        <stp>保有(手動)</stp>
        <stp>=POSITION_M("","0",C3,C4)</stp>
        <tr r="C1" s="13"/>
      </tp>
      <tp t="e">
        <v>#N/A</v>
        <stp/>
        <stp>保有(手動)</stp>
        <stp>=POSITION_M("","0",B3,B4)</stp>
        <tr r="B1" s="13"/>
      </tp>
      <tp t="e">
        <v>#N/A</v>
        <stp/>
        <stp>保有(手動)</stp>
        <stp>=POSITION_M("","0",E3,E4)</stp>
        <tr r="E1" s="13"/>
      </tp>
    </main>
    <main first="oson2.rtdserver">
      <tp t="e">
        <v>#N/A</v>
        <stp/>
        <stp>BOARD</stp>
        <stp>8609</stp>
        <stp/>
        <stp>気配値6</stp>
        <tr r="D16" s="6"/>
      </tp>
      <tp t="e">
        <v>#N/A</v>
        <stp/>
        <stp>BOARD</stp>
        <stp>8609</stp>
        <stp/>
        <stp>気配値7</stp>
        <tr r="D17" s="6"/>
      </tp>
      <tp t="e">
        <v>#N/A</v>
        <stp/>
        <stp>BOARD</stp>
        <stp>8609</stp>
        <stp/>
        <stp>気配値4</stp>
        <tr r="D14" s="6"/>
      </tp>
      <tp t="e">
        <v>#N/A</v>
        <stp/>
        <stp>BOARD</stp>
        <stp>8609</stp>
        <stp/>
        <stp>気配値5</stp>
        <tr r="D15" s="6"/>
      </tp>
      <tp t="e">
        <v>#N/A</v>
        <stp/>
        <stp>BOARD</stp>
        <stp>8609</stp>
        <stp/>
        <stp>気配値2</stp>
        <tr r="D12" s="6"/>
      </tp>
      <tp t="e">
        <v>#N/A</v>
        <stp/>
        <stp>BOARD</stp>
        <stp>8609</stp>
        <stp/>
        <stp>気配値3</stp>
        <tr r="D13" s="6"/>
      </tp>
      <tp t="e">
        <v>#N/A</v>
        <stp/>
        <stp>BOARD</stp>
        <stp>8609</stp>
        <stp/>
        <stp>気配値0</stp>
        <tr r="D10" s="6"/>
      </tp>
      <tp t="e">
        <v>#N/A</v>
        <stp/>
        <stp>BOARD</stp>
        <stp>8609</stp>
        <stp/>
        <stp>気配値1</stp>
        <tr r="D11" s="6"/>
      </tp>
      <tp t="e">
        <v>#N/A</v>
        <stp/>
        <stp>BOARD</stp>
        <stp>8609</stp>
        <stp/>
        <stp>気配値8</stp>
        <tr r="D18" s="6"/>
      </tp>
      <tp t="e">
        <v>#N/A</v>
        <stp/>
        <stp>BOARD</stp>
        <stp>8609</stp>
        <stp/>
        <stp>気配値9</stp>
        <tr r="D19" s="6"/>
      </tp>
    </main>
    <main first="oson2.rtdserver2">
      <tp t="e">
        <v>#N/A</v>
        <stp/>
        <stp>保有(手動)</stp>
        <stp>=POSITION_M("","0",D3,D4)</stp>
        <tr r="D1" s="13"/>
      </tp>
      <tp t="e">
        <v>#N/A</v>
        <stp/>
        <stp>保有(手動)</stp>
        <stp>=POSITION_M("","0",G3,G4)</stp>
        <tr r="G1" s="13"/>
      </tp>
      <tp t="e">
        <v>#N/A</v>
        <stp/>
        <stp>保有(手動)</stp>
        <stp>=POSITION_M("","0",F3,F4)</stp>
        <tr r="F1" s="13"/>
      </tp>
      <tp t="e">
        <v>#N/A</v>
        <stp/>
        <stp>保有(手動)</stp>
        <stp>=POSITION_M("","0",I3,I4)</stp>
        <tr r="I1" s="13"/>
      </tp>
      <tp t="e">
        <v>#N/A</v>
        <stp/>
        <stp>保有(手動)</stp>
        <stp>=POSITION_M("","0",H3,H4)</stp>
        <tr r="H1" s="13"/>
      </tp>
    </main>
    <main first="oson2.rtdserver">
      <tp t="e">
        <v>#N/A</v>
        <stp/>
        <stp>QUOTE</stp>
        <stp>8609</stp>
        <stp/>
        <stp>値幅上限</stp>
        <tr r="A13" s="5"/>
      </tp>
      <tp t="e">
        <v>#N/A</v>
        <stp/>
        <stp>QUOTE</stp>
        <stp>8609</stp>
        <stp/>
        <stp>値幅下限</stp>
        <tr r="A12" s="5"/>
      </tp>
      <tp t="e">
        <v>#N/A</v>
        <stp/>
        <stp>BOARD</stp>
        <stp>8609</stp>
        <stp/>
        <stp>買気配数量12</stp>
        <tr r="E22" s="6"/>
      </tp>
      <tp t="e">
        <v>#N/A</v>
        <stp/>
        <stp>BOARD</stp>
        <stp>8609</stp>
        <stp/>
        <stp>買気配数量13</stp>
        <tr r="E23" s="6"/>
      </tp>
      <tp t="e">
        <v>#N/A</v>
        <stp/>
        <stp>BOARD</stp>
        <stp>8609</stp>
        <stp/>
        <stp>買気配数量10</stp>
        <tr r="E20" s="6"/>
      </tp>
      <tp t="e">
        <v>#N/A</v>
        <stp/>
        <stp>BOARD</stp>
        <stp>8609</stp>
        <stp/>
        <stp>買気配数量11</stp>
        <tr r="E21" s="6"/>
      </tp>
      <tp t="e">
        <v>#N/A</v>
        <stp/>
        <stp>BOARD</stp>
        <stp>8609</stp>
        <stp/>
        <stp>買気配数量-2</stp>
        <tr r="E8" s="6"/>
      </tp>
      <tp t="e">
        <v>#N/A</v>
        <stp/>
        <stp>BOARD</stp>
        <stp>8609</stp>
        <stp/>
        <stp>買気配数量-1</stp>
        <tr r="E9" s="6"/>
      </tp>
    </main>
    <main first="oson2.rtdserver2">
      <tp t="e">
        <v>#N/A</v>
        <stp/>
        <stp>保有(手動)</stp>
        <stp>=POSITION_M("","0",K3,K4)</stp>
        <tr r="K1" s="13"/>
      </tp>
      <tp t="e">
        <v>#N/A</v>
        <stp/>
        <stp>保有(手動)</stp>
        <stp>=POSITION_M("","0",J3,J4)</stp>
        <tr r="J1" s="13"/>
      </tp>
      <tp t="e">
        <v>#N/A</v>
        <stp/>
        <stp>歩み値</stp>
        <stp>=TICK($L$2,$L$3,$L$4,"買付強度",G3)</stp>
        <tr r="N7" s="8"/>
      </tp>
      <tp t="e">
        <v>#N/A</v>
        <stp/>
        <stp>保有(手動)</stp>
        <stp>=POSITION_M("","0",M3,M4)</stp>
        <tr r="M1" s="13"/>
      </tp>
      <tp t="e">
        <v>#N/A</v>
        <stp/>
        <stp>保有(手動)</stp>
        <stp>=POSITION_M("","0",L3,L4)</stp>
        <tr r="L1" s="13"/>
      </tp>
      <tp t="e">
        <v>#N/A</v>
        <stp/>
        <stp>保有(手動)</stp>
        <stp>=POSITION_M("","0",O3,O4)</stp>
        <tr r="O1" s="13"/>
      </tp>
      <tp t="e">
        <v>#N/A</v>
        <stp/>
        <stp>保有(手動)</stp>
        <stp>=POSITION_M("","0",N3,N4)</stp>
        <tr r="N1" s="13"/>
      </tp>
      <tp t="e">
        <v>#N/A</v>
        <stp/>
        <stp>保有(手動)</stp>
        <stp>=POSITION_M("","0",Q3,Q4)</stp>
        <tr r="Q1" s="13"/>
      </tp>
      <tp t="e">
        <v>#N/A</v>
        <stp/>
        <stp>保有(手動)</stp>
        <stp>=POSITION_M("","0",P3,P4)</stp>
        <tr r="P1" s="13"/>
      </tp>
    </main>
    <main first="oson2.rtdserver">
      <tp t="e">
        <v>#N/A</v>
        <stp/>
        <stp>QUOTE</stp>
        <stp>8609</stp>
        <stp/>
        <stp>安値</stp>
        <tr r="F9" s="5"/>
      </tp>
    </main>
    <main first="oson2.rtdserver2">
      <tp t="e">
        <v>#N/A</v>
        <stp/>
        <stp>保有(手動)</stp>
        <stp>=POSITION_M("","0",S3,S4)</stp>
        <tr r="S1" s="13"/>
      </tp>
      <tp t="e">
        <v>#N/A</v>
        <stp/>
        <stp>保有(手動)</stp>
        <stp>=POSITION_M("","0",R3,R4)</stp>
        <tr r="R1" s="13"/>
      </tp>
    </main>
    <main first="oson2.rtdserver">
      <tp t="e">
        <v>#N/A</v>
        <stp/>
        <stp>QUOTE</stp>
        <stp>8609</stp>
        <stp/>
        <stp>始値</stp>
        <tr r="F7" s="5"/>
      </tp>
      <tp t="e">
        <v>#N/A</v>
        <stp/>
        <stp>QUOTE</stp>
        <stp>8609</stp>
        <stp/>
        <stp>市場</stp>
        <tr r="O1" s="14"/>
      </tp>
    </main>
    <main first="oson2.rtdserver2">
      <tp t="e">
        <v>#N/A</v>
        <stp/>
        <stp>保有(手動)</stp>
        <stp>=POSITION_M("","0",U3,U4)</stp>
        <tr r="U1" s="13"/>
      </tp>
      <tp t="e">
        <v>#N/A</v>
        <stp/>
        <stp>保有(手動)</stp>
        <stp>=POSITION_M("","0",T3,T4)</stp>
        <tr r="T1" s="13"/>
      </tp>
      <tp t="e">
        <v>#N/A</v>
        <stp/>
        <stp>保有(手動)</stp>
        <stp>=POSITION_M("","0",V3,V4)</stp>
        <tr r="V1" s="13"/>
      </tp>
      <tp t="e">
        <v>#N/A</v>
        <stp/>
        <stp>約定一覧</stp>
        <stp>=ORDQUERY("2",X3,X4)</stp>
        <tr r="X1" s="11"/>
      </tp>
    </main>
    <main first="oson2.rtdserver">
      <tp t="e">
        <v>#N/A</v>
        <stp/>
        <stp>QUOTE</stp>
        <stp>8609</stp>
        <stp/>
        <stp>売買単位</stp>
        <tr r="G5" s="5"/>
      </tp>
      <tp t="e">
        <v>#N/A</v>
        <stp/>
        <stp>BOARD</stp>
        <stp>8609</stp>
        <stp/>
        <stp>出来高9</stp>
        <tr r="A19" s="6"/>
      </tp>
      <tp t="e">
        <v>#N/A</v>
        <stp/>
        <stp>BOARD</stp>
        <stp>8609</stp>
        <stp/>
        <stp>出来高8</stp>
        <tr r="A18" s="6"/>
      </tp>
      <tp t="e">
        <v>#N/A</v>
        <stp/>
        <stp>BOARD</stp>
        <stp>8609</stp>
        <stp/>
        <stp>出来高3</stp>
        <tr r="A13" s="6"/>
      </tp>
      <tp t="e">
        <v>#N/A</v>
        <stp/>
        <stp>BOARD</stp>
        <stp>8609</stp>
        <stp/>
        <stp>出来高2</stp>
        <tr r="A12" s="6"/>
      </tp>
      <tp t="e">
        <v>#N/A</v>
        <stp/>
        <stp>BOARD</stp>
        <stp>8609</stp>
        <stp/>
        <stp>出来高1</stp>
        <tr r="A11" s="6"/>
      </tp>
      <tp t="e">
        <v>#N/A</v>
        <stp/>
        <stp>BOARD</stp>
        <stp>8609</stp>
        <stp/>
        <stp>出来高0</stp>
        <tr r="A10" s="6"/>
      </tp>
      <tp t="e">
        <v>#N/A</v>
        <stp/>
        <stp>BOARD</stp>
        <stp>8609</stp>
        <stp/>
        <stp>出来高7</stp>
        <tr r="A17" s="6"/>
      </tp>
      <tp t="e">
        <v>#N/A</v>
        <stp/>
        <stp>BOARD</stp>
        <stp>8609</stp>
        <stp/>
        <stp>出来高6</stp>
        <tr r="A16" s="6"/>
      </tp>
      <tp t="e">
        <v>#N/A</v>
        <stp/>
        <stp>BOARD</stp>
        <stp>8609</stp>
        <stp/>
        <stp>出来高5</stp>
        <tr r="A15" s="6"/>
      </tp>
      <tp t="e">
        <v>#N/A</v>
        <stp/>
        <stp>BOARD</stp>
        <stp>8609</stp>
        <stp/>
        <stp>出来高4</stp>
        <tr r="A14" s="6"/>
      </tp>
    </main>
    <main first="oson2.rtdserver2">
      <tp t="e">
        <v>#N/A</v>
        <stp/>
        <stp>約定一覧</stp>
        <stp>=ORDQUERY("2",P3,P4)</stp>
        <tr r="P1" s="11"/>
      </tp>
      <tp t="e">
        <v>#N/A</v>
        <stp/>
        <stp>約定一覧</stp>
        <stp>=ORDQUERY("2",Q3,Q4)</stp>
        <tr r="Q1" s="11"/>
      </tp>
      <tp t="e">
        <v>#N/A</v>
        <stp/>
        <stp>約定一覧</stp>
        <stp>=ORDQUERY("2",R3,R4)</stp>
        <tr r="R1" s="11"/>
      </tp>
      <tp t="e">
        <v>#N/A</v>
        <stp/>
        <stp>約定一覧</stp>
        <stp>=ORDQUERY("2",S3,S4)</stp>
        <tr r="S1" s="11"/>
      </tp>
      <tp t="e">
        <v>#N/A</v>
        <stp/>
        <stp>約定一覧</stp>
        <stp>=ORDQUERY("2",T3,T4)</stp>
        <tr r="T1" s="11"/>
      </tp>
      <tp t="e">
        <v>#N/A</v>
        <stp/>
        <stp>約定一覧</stp>
        <stp>=ORDQUERY("2",U3,U4)</stp>
        <tr r="U1" s="11"/>
      </tp>
      <tp t="e">
        <v>#N/A</v>
        <stp/>
        <stp>約定一覧</stp>
        <stp>=ORDQUERY("2",V3,V4)</stp>
        <tr r="V1" s="11"/>
      </tp>
      <tp t="e">
        <v>#N/A</v>
        <stp/>
        <stp>約定一覧</stp>
        <stp>=ORDQUERY("2",W3,W4)</stp>
        <tr r="W1" s="11"/>
      </tp>
      <tp t="e">
        <v>#N/A</v>
        <stp/>
        <stp>約定一覧</stp>
        <stp>=ORDQUERY("2",H3,H4)</stp>
        <tr r="H1" s="11"/>
      </tp>
    </main>
    <main first="oson2.rtdserver">
      <tp t="e">
        <v>#N/A</v>
        <stp/>
        <stp>QUOTE</stp>
        <stp>8609</stp>
        <stp/>
        <stp>銘柄名</stp>
        <tr r="C2" s="6"/>
        <tr r="D2" s="5"/>
      </tp>
      <tp t="e">
        <v>#N/A</v>
        <stp/>
        <stp>BOARD</stp>
        <stp>8609</stp>
        <stp/>
        <stp>売気配数量8</stp>
        <tr r="C18" s="6"/>
      </tp>
      <tp t="e">
        <v>#N/A</v>
        <stp/>
        <stp>BOARD</stp>
        <stp>8609</stp>
        <stp/>
        <stp>売気配数量9</stp>
        <tr r="C19" s="6"/>
      </tp>
      <tp t="e">
        <v>#N/A</v>
        <stp/>
        <stp>BOARD</stp>
        <stp>8609</stp>
        <stp/>
        <stp>売気配数量6</stp>
        <tr r="C16" s="6"/>
      </tp>
      <tp t="e">
        <v>#N/A</v>
        <stp/>
        <stp>BOARD</stp>
        <stp>8609</stp>
        <stp/>
        <stp>売気配数量7</stp>
        <tr r="C17" s="6"/>
      </tp>
      <tp t="e">
        <v>#N/A</v>
        <stp/>
        <stp>BOARD</stp>
        <stp>8609</stp>
        <stp/>
        <stp>売気配数量4</stp>
        <tr r="C14" s="6"/>
      </tp>
      <tp t="e">
        <v>#N/A</v>
        <stp/>
        <stp>BOARD</stp>
        <stp>8609</stp>
        <stp/>
        <stp>売気配数量5</stp>
        <tr r="C15" s="6"/>
      </tp>
      <tp t="e">
        <v>#N/A</v>
        <stp/>
        <stp>BOARD</stp>
        <stp>8609</stp>
        <stp/>
        <stp>売気配数量2</stp>
        <tr r="C12" s="6"/>
      </tp>
      <tp t="e">
        <v>#N/A</v>
        <stp/>
        <stp>BOARD</stp>
        <stp>8609</stp>
        <stp/>
        <stp>売気配数量3</stp>
        <tr r="C13" s="6"/>
      </tp>
      <tp t="e">
        <v>#N/A</v>
        <stp/>
        <stp>BOARD</stp>
        <stp>8609</stp>
        <stp/>
        <stp>売気配数量0</stp>
        <tr r="C10" s="6"/>
      </tp>
      <tp t="e">
        <v>#N/A</v>
        <stp/>
        <stp>BOARD</stp>
        <stp>8609</stp>
        <stp/>
        <stp>売気配数量1</stp>
        <tr r="C11" s="6"/>
      </tp>
    </main>
    <main first="oson2.rtdserver2">
      <tp t="e">
        <v>#N/A</v>
        <stp/>
        <stp>約定一覧</stp>
        <stp>=ORDQUERY("2",I3,I4)</stp>
        <tr r="I1" s="11"/>
      </tp>
      <tp t="e">
        <v>#N/A</v>
        <stp/>
        <stp>約定一覧</stp>
        <stp>=ORDQUERY("2",J3,J4)</stp>
        <tr r="J1" s="11"/>
      </tp>
      <tp t="e">
        <v>#N/A</v>
        <stp/>
        <stp>約定一覧</stp>
        <stp>=ORDQUERY("2",K3,K4)</stp>
        <tr r="K1" s="11"/>
      </tp>
      <tp t="e">
        <v>#N/A</v>
        <stp/>
        <stp>約定一覧</stp>
        <stp>=ORDQUERY("2",L3,L4)</stp>
        <tr r="L1" s="11"/>
      </tp>
      <tp t="e">
        <v>#N/A</v>
        <stp/>
        <stp>約定一覧</stp>
        <stp>=ORDQUERY("2",M3,M4)</stp>
        <tr r="M1" s="11"/>
      </tp>
      <tp t="e">
        <v>#N/A</v>
        <stp/>
        <stp>約定一覧</stp>
        <stp>=ORDQUERY("2",N3,N4)</stp>
        <tr r="N1" s="11"/>
      </tp>
      <tp t="e">
        <v>#N/A</v>
        <stp/>
        <stp>約定一覧</stp>
        <stp>=ORDQUERY("2",O3,O4)</stp>
        <tr r="O1" s="11"/>
      </tp>
      <tp t="e">
        <v>#N/A</v>
        <stp/>
        <stp>約定一覧</stp>
        <stp>=ORDQUERY("2",A3,A4)</stp>
        <tr r="A1" s="11"/>
      </tp>
      <tp t="e">
        <v>#N/A</v>
        <stp/>
        <stp>約定一覧</stp>
        <stp>=ORDQUERY("2",B3,B4)</stp>
        <tr r="B1" s="11"/>
      </tp>
    </main>
    <main first="oson2.rtdserver">
      <tp t="e">
        <v>#N/A</v>
        <stp/>
        <stp>QUOTE</stp>
        <stp>8609</stp>
        <stp/>
        <stp>売買代金</stp>
        <tr r="B4" s="5"/>
      </tp>
    </main>
    <main first="oson2.rtdserver2">
      <tp t="e">
        <v>#N/A</v>
        <stp/>
        <stp>約定一覧</stp>
        <stp>=ORDQUERY("2",C3,C4)</stp>
        <tr r="C1" s="11"/>
      </tp>
      <tp t="e">
        <v>#N/A</v>
        <stp/>
        <stp>約定一覧</stp>
        <stp>=ORDQUERY("2",D3,D4)</stp>
        <tr r="D1" s="11"/>
      </tp>
      <tp t="e">
        <v>#N/A</v>
        <stp/>
        <stp>約定一覧</stp>
        <stp>=ORDQUERY("2",E3,E4)</stp>
        <tr r="E1" s="11"/>
      </tp>
    </main>
    <main first="oson2.rtdserver">
      <tp t="e">
        <v>#N/A</v>
        <stp/>
        <stp>QUOTE</stp>
        <stp>8609</stp>
        <stp/>
        <stp>約定数量</stp>
        <tr r="D4" s="5"/>
      </tp>
    </main>
    <main first="oson2.rtdserver2">
      <tp t="e">
        <v>#N/A</v>
        <stp/>
        <stp>約定一覧</stp>
        <stp>=ORDQUERY("2",F3,F4)</stp>
        <tr r="F1" s="11"/>
      </tp>
      <tp t="e">
        <v>#N/A</v>
        <stp/>
        <stp>約定一覧</stp>
        <stp>=ORDQUERY("2",G3,G4)</stp>
        <tr r="G1" s="11"/>
      </tp>
      <tp t="e">
        <v>#N/A</v>
        <stp/>
        <stp>注文管理画面</stp>
        <stp>=ORDQUERY("4",A28,A29)</stp>
        <tr r="A26" s="14"/>
      </tp>
      <tp t="e">
        <v>#N/A</v>
        <stp/>
        <stp>注文管理画面</stp>
        <stp>=ORDQUERY("4",B28,B29)</stp>
        <tr r="B26" s="14"/>
      </tp>
      <tp t="e">
        <v>#N/A</v>
        <stp/>
        <stp>注文管理画面</stp>
        <stp>=ORDQUERY("4",C28,C29)</stp>
        <tr r="C26" s="14"/>
      </tp>
      <tp t="e">
        <v>#N/A</v>
        <stp/>
        <stp>注文管理画面</stp>
        <stp>=ORDQUERY("4",D28,D29)</stp>
        <tr r="D26" s="14"/>
      </tp>
      <tp t="e">
        <v>#N/A</v>
        <stp/>
        <stp>注文管理画面</stp>
        <stp>=ORDQUERY("4",E28,E29)</stp>
        <tr r="E26" s="14"/>
      </tp>
      <tp t="e">
        <v>#N/A</v>
        <stp/>
        <stp>注文管理画面</stp>
        <stp>=ORDQUERY("4",F28,F29)</stp>
        <tr r="F26" s="14"/>
      </tp>
      <tp t="e">
        <v>#N/A</v>
        <stp/>
        <stp>注文管理画面</stp>
        <stp>=ORDQUERY("4",G28,G29)</stp>
        <tr r="G26" s="14"/>
      </tp>
      <tp t="e">
        <v>#N/A</v>
        <stp/>
        <stp>注文管理画面</stp>
        <stp>=ORDQUERY("4",H28,H29)</stp>
        <tr r="H26" s="14"/>
      </tp>
      <tp t="e">
        <v>#N/A</v>
        <stp/>
        <stp>注文管理画面</stp>
        <stp>=ORDQUERY("4",I28,I29)</stp>
        <tr r="I26" s="14"/>
      </tp>
      <tp t="e">
        <v>#N/A</v>
        <stp/>
        <stp>注文管理画面</stp>
        <stp>=ORDQUERY("4",J28,J29)</stp>
        <tr r="J26" s="14"/>
      </tp>
      <tp t="e">
        <v>#N/A</v>
        <stp/>
        <stp>注文管理画面</stp>
        <stp>=ORDQUERY("4",K28,K29)</stp>
        <tr r="K26" s="14"/>
      </tp>
      <tp t="e">
        <v>#N/A</v>
        <stp/>
        <stp>注文管理画面</stp>
        <stp>=ORDQUERY("4",L28,L29)</stp>
        <tr r="L26" s="14"/>
      </tp>
      <tp t="e">
        <v>#N/A</v>
        <stp/>
        <stp>注文管理画面</stp>
        <stp>=ORDQUERY("4",M28,M29)</stp>
        <tr r="M26" s="14"/>
      </tp>
      <tp t="e">
        <v>#N/A</v>
        <stp/>
        <stp>注文管理画面</stp>
        <stp>=ORDQUERY("4",N28,N29)</stp>
        <tr r="N26" s="14"/>
      </tp>
      <tp t="e">
        <v>#N/A</v>
        <stp/>
        <stp>注文管理画面</stp>
        <stp>=ORDQUERY("4",O28,O29)</stp>
        <tr r="O26" s="14"/>
      </tp>
      <tp t="e">
        <v>#N/A</v>
        <stp/>
        <stp>注文管理画面</stp>
        <stp>=ORDQUERY("4",P28,P29)</stp>
        <tr r="P26" s="14"/>
      </tp>
      <tp t="e">
        <v>#N/A</v>
        <stp/>
        <stp>注文管理画面</stp>
        <stp>=ORDQUERY("4",Q28,Q29)</stp>
        <tr r="Q26" s="14"/>
      </tp>
      <tp t="e">
        <v>#N/A</v>
        <stp/>
        <stp>注文管理画面</stp>
        <stp>=ORDQUERY("4",R28,R29)</stp>
        <tr r="R26" s="14"/>
      </tp>
      <tp t="e">
        <v>#N/A</v>
        <stp/>
        <stp>注文管理画面</stp>
        <stp>=ORDQUERY("4",S28,S29)</stp>
        <tr r="S26" s="14"/>
      </tp>
      <tp t="e">
        <v>#N/A</v>
        <stp/>
        <stp>注文管理画面</stp>
        <stp>=ORDQUERY("4",T28,T29)</stp>
        <tr r="T26" s="14"/>
      </tp>
      <tp t="e">
        <v>#N/A</v>
        <stp/>
        <stp>注文管理画面</stp>
        <stp>=ORDQUERY("4",U28,U29)</stp>
        <tr r="U26" s="14"/>
      </tp>
      <tp t="e">
        <v>#N/A</v>
        <stp/>
        <stp>注文管理画面</stp>
        <stp>=ORDQUERY("4",V28,V29)</stp>
        <tr r="V26" s="14"/>
      </tp>
      <tp t="e">
        <v>#N/A</v>
        <stp/>
        <stp>注文管理画面</stp>
        <stp>=ORDQUERY("4",W28,W29)</stp>
        <tr r="W26" s="14"/>
      </tp>
      <tp t="e">
        <v>#N/A</v>
        <stp/>
        <stp>注文管理画面</stp>
        <stp>=ORDQUERY("4",X28,X29)</stp>
        <tr r="X26" s="14"/>
      </tp>
    </main>
    <main first="oson2.rtdserver">
      <tp t="e">
        <v>#N/A</v>
        <stp/>
        <stp>QUOTE</stp>
        <stp>8609</stp>
        <stp/>
        <stp>高値</stp>
        <tr r="F8" s="5"/>
      </tp>
    </main>
    <main first="oson2.rtdserver2">
      <tp t="e">
        <v>#N/A</v>
        <stp/>
        <stp>歩み値</stp>
        <stp>=TICK($L$2,$L$3,$L$4,"出来高",E3)</stp>
        <tr r="N5" s="8"/>
      </tp>
    </main>
    <main first="oson2.rtdserver">
      <tp t="e">
        <v>#N/A</v>
        <stp/>
        <stp>QUOTE</stp>
        <stp>8609</stp>
        <stp/>
        <stp>配当落日</stp>
        <tr r="D12" s="5"/>
      </tp>
      <tp t="e">
        <v>#N/A</v>
        <stp/>
        <stp>QUOTE</stp>
        <stp>8609</stp>
        <stp/>
        <stp>配当</stp>
        <tr r="D13" s="5"/>
      </tp>
    </main>
    <main first="oson2.rtdserver2">
      <tp t="e">
        <v>#N/A</v>
        <stp/>
        <stp>注文管理画面</stp>
        <stp>=POSITION("","0",C47,C48)</stp>
        <tr r="C45" s="14"/>
      </tp>
      <tp t="e">
        <v>#N/A</v>
        <stp/>
        <stp>注文管理画面</stp>
        <stp>=POSITION("","0",D47,D48)</stp>
        <tr r="D45" s="14"/>
      </tp>
      <tp t="e">
        <v>#N/A</v>
        <stp/>
        <stp>注文管理画面</stp>
        <stp>=POSITION("","0",E47,E48)</stp>
        <tr r="E45" s="14"/>
      </tp>
      <tp t="e">
        <v>#N/A</v>
        <stp/>
        <stp>注文管理画面</stp>
        <stp>=POSITION("","0",F47,F48)</stp>
        <tr r="F45" s="14"/>
      </tp>
      <tp t="e">
        <v>#N/A</v>
        <stp/>
        <stp>注文管理画面</stp>
        <stp>=POSITION("","0",G47,G48)</stp>
        <tr r="G45" s="14"/>
      </tp>
      <tp t="e">
        <v>#N/A</v>
        <stp/>
        <stp>注文管理画面</stp>
        <stp>=POSITION("","0",H47,H48)</stp>
        <tr r="H45" s="14"/>
      </tp>
      <tp t="e">
        <v>#N/A</v>
        <stp/>
        <stp>注文管理画面</stp>
        <stp>=POSITION("","0",I47,I48)</stp>
        <tr r="I45" s="14"/>
      </tp>
      <tp t="e">
        <v>#N/A</v>
        <stp/>
        <stp>注文管理画面</stp>
        <stp>=POSITION("","0",J47,J48)</stp>
        <tr r="J45" s="14"/>
      </tp>
      <tp t="e">
        <v>#N/A</v>
        <stp/>
        <stp>注文管理画面</stp>
        <stp>=POSITION("","0",K47,K48)</stp>
        <tr r="K45" s="14"/>
      </tp>
      <tp t="e">
        <v>#N/A</v>
        <stp/>
        <stp>注文管理画面</stp>
        <stp>=POSITION("","0",L47,L48)</stp>
        <tr r="L45" s="14"/>
      </tp>
      <tp t="e">
        <v>#N/A</v>
        <stp/>
        <stp>注文管理画面</stp>
        <stp>=POSITION("","0",M47,M48)</stp>
        <tr r="M45" s="14"/>
      </tp>
      <tp t="e">
        <v>#N/A</v>
        <stp/>
        <stp>注文管理画面</stp>
        <stp>=POSITION("","0",N47,N48)</stp>
        <tr r="N45" s="14"/>
      </tp>
      <tp t="e">
        <v>#N/A</v>
        <stp/>
        <stp>注文管理画面</stp>
        <stp>=POSITION("","0",O47,O48)</stp>
        <tr r="O45" s="14"/>
      </tp>
      <tp t="e">
        <v>#N/A</v>
        <stp/>
        <stp>注文管理画面</stp>
        <stp>=POSITION("","0",P47,P48)</stp>
        <tr r="P45" s="14"/>
      </tp>
      <tp t="e">
        <v>#N/A</v>
        <stp/>
        <stp>注文管理画面</stp>
        <stp>=POSITION("","0",Q47,Q48)</stp>
        <tr r="Q45" s="14"/>
      </tp>
      <tp t="e">
        <v>#N/A</v>
        <stp/>
        <stp>注文管理画面</stp>
        <stp>=POSITION("","0",R47,R48)</stp>
        <tr r="R45" s="14"/>
      </tp>
      <tp t="e">
        <v>#N/A</v>
        <stp/>
        <stp>注文管理画面</stp>
        <stp>=POSITION("","0",S47,S48)</stp>
        <tr r="S45" s="14"/>
      </tp>
      <tp t="e">
        <v>#N/A</v>
        <stp/>
        <stp>注文管理画面</stp>
        <stp>=POSITION("","0",T47,T48)</stp>
        <tr r="T45" s="14"/>
      </tp>
      <tp t="e">
        <v>#N/A</v>
        <stp/>
        <stp>注文管理画面</stp>
        <stp>=POSITION("","0",U47,U48)</stp>
        <tr r="U45" s="14"/>
      </tp>
      <tp t="e">
        <v>#N/A</v>
        <stp/>
        <stp>注文管理画面</stp>
        <stp>=POSITION("","0",V47,V48)</stp>
        <tr r="V45" s="14"/>
      </tp>
    </main>
    <main first="oson2.rtdserver">
      <tp t="e">
        <v>#N/A</v>
        <stp/>
        <stp>QUOTE</stp>
        <stp>8609</stp>
        <stp/>
        <stp>現在値</stp>
        <tr r="B3" s="5"/>
        <tr r="B4" s="6"/>
      </tp>
      <tp t="e">
        <v>#N/A</v>
        <stp/>
        <stp>BOARD</stp>
        <stp>8609</stp>
        <stp/>
        <stp>出来高10</stp>
        <tr r="A20" s="6"/>
      </tp>
      <tp t="e">
        <v>#N/A</v>
        <stp/>
        <stp>BOARD</stp>
        <stp>8609</stp>
        <stp/>
        <stp>出来高11</stp>
        <tr r="A21" s="6"/>
      </tp>
      <tp t="e">
        <v>#N/A</v>
        <stp/>
        <stp>BOARD</stp>
        <stp>8609</stp>
        <stp/>
        <stp>出来高12</stp>
        <tr r="A22" s="6"/>
      </tp>
      <tp t="e">
        <v>#N/A</v>
        <stp/>
        <stp>BOARD</stp>
        <stp>8609</stp>
        <stp/>
        <stp>出来高13</stp>
        <tr r="A23" s="6"/>
      </tp>
      <tp t="e">
        <v>#N/A</v>
        <stp/>
        <stp>BOARD</stp>
        <stp>8609</stp>
        <stp/>
        <stp>出来高-1</stp>
        <tr r="A9" s="6"/>
      </tp>
      <tp t="e">
        <v>#N/A</v>
        <stp/>
        <stp>BOARD</stp>
        <stp>8609</stp>
        <stp/>
        <stp>出来高-2</stp>
        <tr r="A8" s="6"/>
      </tp>
      <tp t="e">
        <v>#N/A</v>
        <stp/>
        <stp>QUOTE</stp>
        <stp>8609</stp>
        <stp/>
        <stp>後場高値</stp>
        <tr r="D8" s="5"/>
      </tp>
      <tp t="e">
        <v>#N/A</v>
        <stp/>
        <stp>QUOTE</stp>
        <stp>8609</stp>
        <stp/>
        <stp>前場高値</stp>
        <tr r="B8" s="5"/>
      </tp>
      <tp t="e">
        <v>#N/A</v>
        <stp/>
        <stp>BOARD</stp>
        <stp>8609</stp>
        <stp/>
        <stp>成行買気配数量</stp>
        <tr r="E7" s="6"/>
      </tp>
      <tp t="e">
        <v>#N/A</v>
        <stp/>
        <stp>BOARD</stp>
        <stp>8609</stp>
        <stp/>
        <stp>成行売気配数量</stp>
        <tr r="C7" s="6"/>
      </tp>
    </main>
    <main first="oson2.rtdserver2">
      <tp t="e">
        <v>#N/A</v>
        <stp/>
        <stp>四本値</stp>
        <stp>=candle($K$2,$K$3,$K$4,$K$5,"出来高",H3,$K$6,$K$7)</stp>
        <tr r="M8" s="7"/>
      </tp>
      <tp t="e">
        <v>#N/A</v>
        <stp/>
        <stp>歩み値</stp>
        <stp>=TICK($L$2,$L$3,$L$4,"約定数量",D3)</stp>
        <tr r="N4" s="8"/>
      </tp>
    </main>
    <main first="oson2.rtdserver">
      <tp t="e">
        <v>#N/A</v>
        <stp/>
        <stp>QUOTE</stp>
        <stp>8609</stp>
        <stp/>
        <stp>売気配値</stp>
        <tr r="A15" s="5"/>
      </tp>
      <tp t="e">
        <v>#N/A</v>
        <stp/>
        <stp>QUOTE</stp>
        <stp>8609</stp>
        <stp/>
        <stp>買気配値</stp>
        <tr r="A16" s="5"/>
      </tp>
      <tp t="e">
        <v>#N/A</v>
        <stp/>
        <stp>QUOTE</stp>
        <stp>8609</stp>
        <stp/>
        <stp>買付強度</stp>
        <tr r="E5" s="6"/>
      </tp>
      <tp t="e">
        <v>#N/A</v>
        <stp/>
        <stp>QUOTE</stp>
        <stp>8609</stp>
        <stp/>
        <stp>前日比率</stp>
        <tr r="E3" s="5"/>
        <tr r="E3" s="6"/>
      </tp>
      <tp t="e">
        <v>#N/A</v>
        <stp/>
        <stp>QUOTE</stp>
        <stp>8609</stp>
        <stp/>
        <stp>5年来高値</stp>
        <tr r="B12" s="5"/>
      </tp>
      <tp t="e">
        <v>#N/A</v>
        <stp/>
        <stp>QUOTE</stp>
        <stp>8609</stp>
        <stp/>
        <stp>年初来高値</stp>
        <tr r="F12" s="5"/>
      </tp>
      <tp t="e">
        <v>#N/A</v>
        <stp/>
        <stp>QUOTE</stp>
        <stp>8609</stp>
        <stp/>
        <stp>出来高</stp>
        <tr r="B5" s="6"/>
        <tr r="G3" s="5"/>
      </tp>
    </main>
    <main first="oson2.rtdserver2">
      <tp t="e">
        <v>#N/A</v>
        <stp/>
        <stp>歩み値</stp>
        <stp>=TICK($L$2,$L$3,$L$4,"前回比",C3)</stp>
        <tr r="N3" s="8"/>
      </tp>
    </main>
    <main first="oson2.rtdserver">
      <tp t="e">
        <v>#N/A</v>
        <stp/>
        <stp>QUOTE</stp>
        <stp>8609</stp>
        <stp/>
        <stp>前日終値</stp>
        <tr r="B5" s="5"/>
      </tp>
    </main>
    <main first="oson2.rtdserver2">
      <tp t="e">
        <v>#N/A</v>
        <stp/>
        <stp>四本値</stp>
        <stp>=candle($K$2,$K$3,$K$4,$K$5,"取引日付",B3,$K$6,$K$7)</stp>
        <tr r="M2" s="7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16" fmlaLink="$C$18" max="1000" min="1" page="10" val="2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0</xdr:row>
      <xdr:rowOff>66675</xdr:rowOff>
    </xdr:from>
    <xdr:to>
      <xdr:col>14</xdr:col>
      <xdr:colOff>609600</xdr:colOff>
      <xdr:row>19</xdr:row>
      <xdr:rowOff>95251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629400" y="66675"/>
          <a:ext cx="4552950" cy="3286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【</a:t>
          </a:r>
          <a:r>
            <a:rPr kumimoji="1" lang="ja-JP" altLang="en-US" sz="1100"/>
            <a:t>データが取得できない場合は下記のリンク先の案内を確認下さい</a:t>
          </a:r>
          <a:r>
            <a:rPr kumimoji="1" lang="en-US" altLang="ja-JP" sz="1100"/>
            <a:t>】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http://qa.okasan-online.co.jp/faq_detail.html?id=550</a:t>
          </a: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http://qa.okasan-online.co.jp/faq_detail.html?id=551</a:t>
          </a:r>
          <a:endParaRPr lang="ja-JP" altLang="ja-JP">
            <a:effectLst/>
          </a:endParaRPr>
        </a:p>
        <a:p>
          <a:endParaRPr kumimoji="1" lang="en-US" altLang="ja-JP" sz="1100"/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#NAME?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http://qa.okasan-online.co.jp/faq_detail.html?id=552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#VALUE!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http://qa.okasan-online.co.jp/faq_detail.html?id=553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上記案内のご対応をいただいても問題が解決しない場合は、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アドインの設定が正しく行われていない場合があります。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下記のリンク先より、設定方法をご確認ください。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http://www.okasan-online.co.jp/ont/rss/install/</a:t>
          </a:r>
          <a:endParaRPr lang="ja-JP" altLang="ja-JP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679450</xdr:colOff>
          <xdr:row>2</xdr:row>
          <xdr:rowOff>12700</xdr:rowOff>
        </xdr:from>
        <xdr:to>
          <xdr:col>29</xdr:col>
          <xdr:colOff>31750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並べ替え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146050</xdr:colOff>
          <xdr:row>35</xdr:row>
          <xdr:rowOff>69850</xdr:rowOff>
        </xdr:from>
        <xdr:to>
          <xdr:col>30</xdr:col>
          <xdr:colOff>165100</xdr:colOff>
          <xdr:row>37</xdr:row>
          <xdr:rowOff>88900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保有情報</a:t>
              </a:r>
            </a:p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76200</xdr:rowOff>
        </xdr:from>
        <xdr:to>
          <xdr:col>3</xdr:col>
          <xdr:colOff>781050</xdr:colOff>
          <xdr:row>3</xdr:row>
          <xdr:rowOff>114300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7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</xdr:col>
      <xdr:colOff>1008530</xdr:colOff>
      <xdr:row>0</xdr:row>
      <xdr:rowOff>156882</xdr:rowOff>
    </xdr:from>
    <xdr:to>
      <xdr:col>4</xdr:col>
      <xdr:colOff>11206</xdr:colOff>
      <xdr:row>3</xdr:row>
      <xdr:rowOff>89648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3686736" y="156882"/>
          <a:ext cx="3294529" cy="4594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en-US">
              <a:effectLst/>
            </a:rPr>
            <a:t>発注</a:t>
          </a:r>
          <a:r>
            <a:rPr lang="en-US" altLang="ja-JP">
              <a:effectLst/>
            </a:rPr>
            <a:t>ID</a:t>
          </a:r>
          <a:r>
            <a:rPr lang="ja-JP" altLang="en-US">
              <a:effectLst/>
            </a:rPr>
            <a:t>は、スピンボタン</a:t>
          </a:r>
          <a:r>
            <a:rPr lang="en-US" altLang="ja-JP">
              <a:effectLst/>
            </a:rPr>
            <a:t>(</a:t>
          </a:r>
          <a:r>
            <a:rPr lang="ja-JP" altLang="en-US">
              <a:effectLst/>
            </a:rPr>
            <a:t>左</a:t>
          </a:r>
          <a:r>
            <a:rPr lang="en-US" altLang="ja-JP">
              <a:effectLst/>
            </a:rPr>
            <a:t>)</a:t>
          </a:r>
          <a:r>
            <a:rPr lang="ja-JP" altLang="en-US">
              <a:effectLst/>
            </a:rPr>
            <a:t>から変更可能。</a:t>
          </a:r>
          <a:br>
            <a:rPr lang="en-US" altLang="ja-JP">
              <a:effectLst/>
            </a:rPr>
          </a:br>
          <a:r>
            <a:rPr lang="ja-JP" altLang="en-US">
              <a:effectLst/>
            </a:rPr>
            <a:t>水色のセルは、注文訂正・取消の引数としても使用。</a:t>
          </a:r>
          <a:endParaRPr lang="ja-JP" altLang="ja-JP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1</xdr:row>
          <xdr:rowOff>19050</xdr:rowOff>
        </xdr:from>
        <xdr:to>
          <xdr:col>5</xdr:col>
          <xdr:colOff>146050</xdr:colOff>
          <xdr:row>3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A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発注実行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165100</xdr:rowOff>
        </xdr:from>
        <xdr:to>
          <xdr:col>8</xdr:col>
          <xdr:colOff>520700</xdr:colOff>
          <xdr:row>3</xdr:row>
          <xdr:rowOff>25400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A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プログラム起動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8</xdr:col>
          <xdr:colOff>520700</xdr:colOff>
          <xdr:row>7</xdr:row>
          <xdr:rowOff>44450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A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プログラム停止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69850</xdr:colOff>
          <xdr:row>0</xdr:row>
          <xdr:rowOff>158750</xdr:rowOff>
        </xdr:from>
        <xdr:to>
          <xdr:col>12</xdr:col>
          <xdr:colOff>590550</xdr:colOff>
          <xdr:row>3</xdr:row>
          <xdr:rowOff>6350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A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予約時刻抹消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76200</xdr:rowOff>
    </xdr:from>
    <xdr:to>
      <xdr:col>13</xdr:col>
      <xdr:colOff>142875</xdr:colOff>
      <xdr:row>8</xdr:row>
      <xdr:rowOff>161925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>
          <a:off x="76200" y="76200"/>
          <a:ext cx="8982075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 b="1">
              <a:latin typeface="+mj-ea"/>
              <a:ea typeface="+mj-ea"/>
            </a:rPr>
            <a:t>【</a:t>
          </a:r>
          <a:r>
            <a:rPr kumimoji="1" lang="ja-JP" altLang="en-US" sz="1100" b="1">
              <a:latin typeface="+mj-ea"/>
              <a:ea typeface="+mj-ea"/>
            </a:rPr>
            <a:t>追加オプション</a:t>
          </a:r>
          <a:r>
            <a:rPr kumimoji="1" lang="en-US" altLang="ja-JP" sz="1100" b="1">
              <a:latin typeface="+mj-ea"/>
              <a:ea typeface="+mj-ea"/>
            </a:rPr>
            <a:t>】</a:t>
          </a:r>
        </a:p>
        <a:p>
          <a:r>
            <a:rPr kumimoji="1" lang="en-US" altLang="ja-JP" sz="1100" b="1">
              <a:latin typeface="+mj-ea"/>
              <a:ea typeface="+mj-ea"/>
            </a:rPr>
            <a:t>  </a:t>
          </a:r>
          <a:r>
            <a:rPr kumimoji="1" lang="ja-JP" altLang="en-US" sz="1100" b="1">
              <a:latin typeface="+mj-ea"/>
              <a:ea typeface="+mj-ea"/>
            </a:rPr>
            <a:t>・岡三</a:t>
          </a:r>
          <a:r>
            <a:rPr kumimoji="1" lang="en-US" altLang="ja-JP" sz="1100" b="1">
              <a:latin typeface="+mj-ea"/>
              <a:ea typeface="+mj-ea"/>
            </a:rPr>
            <a:t>RSS</a:t>
          </a:r>
          <a:r>
            <a:rPr kumimoji="1" lang="ja-JP" altLang="en-US" sz="1100" b="1">
              <a:latin typeface="+mj-ea"/>
              <a:ea typeface="+mj-ea"/>
            </a:rPr>
            <a:t>確認画面省略機能</a:t>
          </a:r>
        </a:p>
        <a:p>
          <a:r>
            <a:rPr kumimoji="1" lang="ja-JP" altLang="en-US" sz="1100" b="1">
              <a:latin typeface="+mj-ea"/>
              <a:ea typeface="+mj-ea"/>
            </a:rPr>
            <a:t> </a:t>
          </a:r>
        </a:p>
        <a:p>
          <a:r>
            <a:rPr kumimoji="1" lang="ja-JP" altLang="en-US" sz="1100" b="1">
              <a:latin typeface="+mj-ea"/>
              <a:ea typeface="+mj-ea"/>
            </a:rPr>
            <a:t>岡三</a:t>
          </a:r>
          <a:r>
            <a:rPr kumimoji="1" lang="en-US" altLang="ja-JP" sz="1100" b="1">
              <a:latin typeface="+mj-ea"/>
              <a:ea typeface="+mj-ea"/>
            </a:rPr>
            <a:t>RSS</a:t>
          </a:r>
          <a:r>
            <a:rPr kumimoji="1" lang="ja-JP" altLang="en-US" sz="1100" b="1">
              <a:latin typeface="+mj-ea"/>
              <a:ea typeface="+mj-ea"/>
            </a:rPr>
            <a:t>（株式・先物</a:t>
          </a:r>
          <a:r>
            <a:rPr kumimoji="1" lang="en-US" altLang="ja-JP" sz="1100" b="1">
              <a:latin typeface="+mj-ea"/>
              <a:ea typeface="+mj-ea"/>
            </a:rPr>
            <a:t>OP</a:t>
          </a:r>
          <a:r>
            <a:rPr kumimoji="1" lang="ja-JP" altLang="en-US" sz="1100" b="1">
              <a:latin typeface="+mj-ea"/>
              <a:ea typeface="+mj-ea"/>
            </a:rPr>
            <a:t>取引対応）を利用して日本株取引の発注を行った場合、注文確認画面が表示されます。</a:t>
          </a:r>
        </a:p>
        <a:p>
          <a:r>
            <a:rPr kumimoji="1" lang="ja-JP" altLang="en-US" sz="1100" b="1">
              <a:latin typeface="+mj-ea"/>
              <a:ea typeface="+mj-ea"/>
            </a:rPr>
            <a:t>岡三</a:t>
          </a:r>
          <a:r>
            <a:rPr kumimoji="1" lang="en-US" altLang="ja-JP" sz="1100" b="1">
              <a:latin typeface="+mj-ea"/>
              <a:ea typeface="+mj-ea"/>
            </a:rPr>
            <a:t>RSS </a:t>
          </a:r>
          <a:r>
            <a:rPr kumimoji="1" lang="ja-JP" altLang="en-US" sz="1100" b="1">
              <a:latin typeface="+mj-ea"/>
              <a:ea typeface="+mj-ea"/>
            </a:rPr>
            <a:t>確認画面省略機能をお申込みいただくと、この確認画面を省略することができます。</a:t>
          </a:r>
          <a:endParaRPr kumimoji="1" lang="en-US" altLang="ja-JP" sz="1100" b="1">
            <a:latin typeface="+mj-ea"/>
            <a:ea typeface="+mj-ea"/>
          </a:endParaRPr>
        </a:p>
        <a:p>
          <a:r>
            <a:rPr kumimoji="1" lang="ja-JP" altLang="en-US" sz="1100" b="1">
              <a:latin typeface="+mj-ea"/>
              <a:ea typeface="+mj-ea"/>
            </a:rPr>
            <a:t>これにより、完全自動発注と迅速な注文処理が実現できます。</a:t>
          </a:r>
          <a:endParaRPr kumimoji="1" lang="en-US" altLang="ja-JP" sz="1100" b="1">
            <a:latin typeface="+mj-ea"/>
            <a:ea typeface="+mj-ea"/>
          </a:endParaRPr>
        </a:p>
      </xdr:txBody>
    </xdr:sp>
    <xdr:clientData/>
  </xdr:twoCellAnchor>
  <xdr:twoCellAnchor>
    <xdr:from>
      <xdr:col>0</xdr:col>
      <xdr:colOff>9525</xdr:colOff>
      <xdr:row>10</xdr:row>
      <xdr:rowOff>9525</xdr:rowOff>
    </xdr:from>
    <xdr:to>
      <xdr:col>16</xdr:col>
      <xdr:colOff>9525</xdr:colOff>
      <xdr:row>105</xdr:row>
      <xdr:rowOff>66675</xdr:rowOff>
    </xdr:to>
    <xdr:grpSp>
      <xdr:nvGrpSpPr>
        <xdr:cNvPr id="17" name="グループ化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GrpSpPr/>
      </xdr:nvGrpSpPr>
      <xdr:grpSpPr>
        <a:xfrm>
          <a:off x="9525" y="1660525"/>
          <a:ext cx="10058400" cy="15741650"/>
          <a:chOff x="0" y="1844374"/>
          <a:chExt cx="11049000" cy="15891705"/>
        </a:xfrm>
      </xdr:grpSpPr>
      <xdr:pic>
        <xdr:nvPicPr>
          <xdr:cNvPr id="11" name="図 10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3048000"/>
            <a:ext cx="11049000" cy="60007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" name="図 1">
            <a:extLst>
              <a:ext uri="{FF2B5EF4-FFF2-40B4-BE49-F238E27FC236}">
                <a16:creationId xmlns:a16="http://schemas.microsoft.com/office/drawing/2014/main" id="{00000000-0008-0000-0B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809750" y="8919017"/>
            <a:ext cx="7338102" cy="8774551"/>
          </a:xfrm>
          <a:prstGeom prst="rect">
            <a:avLst/>
          </a:prstGeom>
        </xdr:spPr>
      </xdr:pic>
      <xdr:sp macro="" textlink="">
        <xdr:nvSpPr>
          <xdr:cNvPr id="4" name="正方形/長方形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/>
        </xdr:nvSpPr>
        <xdr:spPr>
          <a:xfrm>
            <a:off x="2471738" y="3107064"/>
            <a:ext cx="957262" cy="457260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5" name="正方形/長方形 4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/>
        </xdr:nvSpPr>
        <xdr:spPr>
          <a:xfrm>
            <a:off x="85725" y="6208803"/>
            <a:ext cx="1571625" cy="295312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" name="ストライプ矢印 5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SpPr/>
        </xdr:nvSpPr>
        <xdr:spPr>
          <a:xfrm rot="5400000">
            <a:off x="4605219" y="7315822"/>
            <a:ext cx="1833800" cy="1090612"/>
          </a:xfrm>
          <a:prstGeom prst="stripedRightArrow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00000000-0008-0000-0B00-000007000000}"/>
              </a:ext>
            </a:extLst>
          </xdr:cNvPr>
          <xdr:cNvSpPr/>
        </xdr:nvSpPr>
        <xdr:spPr>
          <a:xfrm>
            <a:off x="4619691" y="17287394"/>
            <a:ext cx="962025" cy="448685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0" name="テキスト ボックス 9">
            <a:extLst>
              <a:ext uri="{FF2B5EF4-FFF2-40B4-BE49-F238E27FC236}">
                <a16:creationId xmlns:a16="http://schemas.microsoft.com/office/drawing/2014/main" id="{00000000-0008-0000-0B00-00000A000000}"/>
              </a:ext>
            </a:extLst>
          </xdr:cNvPr>
          <xdr:cNvSpPr txBox="1"/>
        </xdr:nvSpPr>
        <xdr:spPr>
          <a:xfrm>
            <a:off x="0" y="1844374"/>
            <a:ext cx="9072563" cy="3429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ja-JP" altLang="en-US" b="1">
                <a:effectLst/>
              </a:rPr>
              <a:t>「</a:t>
            </a:r>
            <a:r>
              <a:rPr kumimoji="1" lang="ja-JP" altLang="ja-JP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岡三</a:t>
            </a:r>
            <a:r>
              <a:rPr kumimoji="1" lang="en-US" altLang="ja-JP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RSS</a:t>
            </a:r>
            <a:r>
              <a:rPr kumimoji="1" lang="ja-JP" altLang="ja-JP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確認画面省略機能</a:t>
            </a:r>
            <a:r>
              <a:rPr lang="ja-JP" altLang="en-US" b="1">
                <a:effectLst/>
              </a:rPr>
              <a:t>」の申し込み方法</a:t>
            </a:r>
            <a:endParaRPr lang="ja-JP" altLang="ja-JP" b="1">
              <a:effectLst/>
            </a:endParaRPr>
          </a:p>
        </xdr:txBody>
      </xdr:sp>
      <xdr:sp macro="" textlink="">
        <xdr:nvSpPr>
          <xdr:cNvPr id="13" name="テキスト ボックス 12">
            <a:extLst>
              <a:ext uri="{FF2B5EF4-FFF2-40B4-BE49-F238E27FC236}">
                <a16:creationId xmlns:a16="http://schemas.microsoft.com/office/drawing/2014/main" id="{00000000-0008-0000-0B00-00000D000000}"/>
              </a:ext>
            </a:extLst>
          </xdr:cNvPr>
          <xdr:cNvSpPr txBox="1"/>
        </xdr:nvSpPr>
        <xdr:spPr>
          <a:xfrm>
            <a:off x="2157414" y="2928938"/>
            <a:ext cx="381000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300" b="1">
                <a:solidFill>
                  <a:srgbClr val="FF0000"/>
                </a:solidFill>
              </a:rPr>
              <a:t>①</a:t>
            </a:r>
          </a:p>
        </xdr:txBody>
      </xdr:sp>
      <xdr:sp macro="" textlink="">
        <xdr:nvSpPr>
          <xdr:cNvPr id="15" name="テキスト ボックス 14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SpPr txBox="1"/>
        </xdr:nvSpPr>
        <xdr:spPr>
          <a:xfrm>
            <a:off x="1357314" y="5891213"/>
            <a:ext cx="385762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300" b="1">
                <a:solidFill>
                  <a:srgbClr val="FF0000"/>
                </a:solidFill>
              </a:rPr>
              <a:t>②</a:t>
            </a:r>
          </a:p>
        </xdr:txBody>
      </xdr:sp>
      <xdr:sp macro="" textlink="">
        <xdr:nvSpPr>
          <xdr:cNvPr id="16" name="テキスト ボックス 15">
            <a:extLst>
              <a:ext uri="{FF2B5EF4-FFF2-40B4-BE49-F238E27FC236}">
                <a16:creationId xmlns:a16="http://schemas.microsoft.com/office/drawing/2014/main" id="{00000000-0008-0000-0B00-000010000000}"/>
              </a:ext>
            </a:extLst>
          </xdr:cNvPr>
          <xdr:cNvSpPr txBox="1"/>
        </xdr:nvSpPr>
        <xdr:spPr>
          <a:xfrm>
            <a:off x="4305300" y="17030700"/>
            <a:ext cx="381000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300" b="1">
                <a:solidFill>
                  <a:srgbClr val="FF0000"/>
                </a:solidFill>
              </a:rPr>
              <a:t>③</a:t>
            </a:r>
          </a:p>
        </xdr:txBody>
      </xdr:sp>
    </xdr:grpSp>
    <xdr:clientData/>
  </xdr:twoCellAnchor>
  <xdr:twoCellAnchor>
    <xdr:from>
      <xdr:col>0</xdr:col>
      <xdr:colOff>19050</xdr:colOff>
      <xdr:row>12</xdr:row>
      <xdr:rowOff>66675</xdr:rowOff>
    </xdr:from>
    <xdr:to>
      <xdr:col>13</xdr:col>
      <xdr:colOff>95250</xdr:colOff>
      <xdr:row>16</xdr:row>
      <xdr:rowOff>95250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 txBox="1"/>
      </xdr:nvSpPr>
      <xdr:spPr>
        <a:xfrm>
          <a:off x="19050" y="2124075"/>
          <a:ext cx="89916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日本株取引画</a:t>
          </a:r>
          <a:r>
            <a:rPr kumimoji="1" lang="en-US" altLang="ja-JP" sz="1100" b="1"/>
            <a:t>(https://trade.okasan-online.co.jp/web/</a:t>
          </a:r>
          <a:r>
            <a:rPr kumimoji="1" lang="ja-JP" altLang="en-US" sz="1100" b="1"/>
            <a:t>）にログインし、下記手順にてお申込みください。</a:t>
          </a:r>
          <a:endParaRPr kumimoji="1" lang="en-US" altLang="ja-JP" sz="1100" b="1"/>
        </a:p>
        <a:p>
          <a:endParaRPr kumimoji="1" lang="en-US" altLang="ja-JP" sz="1100" b="1"/>
        </a:p>
        <a:p>
          <a:r>
            <a:rPr kumimoji="1" lang="ja-JP" altLang="en-US" sz="1100" b="1"/>
            <a:t>①「投資情報」　→　②「トレーディングツール」　→　③追加オプション「申込」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Okasan%20Online%20Securities%20Co.,Ltd\&#23713;&#19977;RSS\AddIn\&#23713;&#19977;RSS.xla" TargetMode="External"/><Relationship Id="rId1" Type="http://schemas.openxmlformats.org/officeDocument/2006/relationships/externalLinkPath" Target="file:///C:\Program%20Files%20(x86)\Okasan%20Online%20Securities%20Co.,Ltd\&#23713;&#19977;RSS\AddIn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Sheet2"/>
      <sheetName val="Sheet3"/>
    </sheetNames>
    <definedNames>
      <definedName name="BOARD"/>
      <definedName name="candle"/>
      <definedName name="MARGINORDER"/>
      <definedName name="NEWORDER"/>
      <definedName name="ordercancel"/>
      <definedName name="ORDQUERY"/>
      <definedName name="POSITION"/>
      <definedName name="POSITION_M"/>
      <definedName name="QUOTE"/>
      <definedName name="REPAYMENTORDER"/>
      <definedName name="Replaceorder"/>
      <definedName name="TICK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6"/>
  <sheetViews>
    <sheetView workbookViewId="0">
      <selection activeCell="B19" sqref="B19"/>
    </sheetView>
  </sheetViews>
  <sheetFormatPr defaultRowHeight="13.5" customHeight="1" x14ac:dyDescent="0.2"/>
  <cols>
    <col min="1" max="1" width="12.6328125" customWidth="1"/>
    <col min="2" max="2" width="10.6328125" customWidth="1"/>
    <col min="3" max="3" width="10.36328125" customWidth="1"/>
    <col min="4" max="4" width="10.6328125" customWidth="1"/>
    <col min="5" max="5" width="10.36328125" customWidth="1"/>
    <col min="6" max="6" width="10.6328125" customWidth="1"/>
    <col min="7" max="7" width="10.453125" customWidth="1"/>
  </cols>
  <sheetData>
    <row r="1" spans="1:7" ht="13.5" customHeight="1" x14ac:dyDescent="0.2">
      <c r="A1" s="289" t="s">
        <v>0</v>
      </c>
      <c r="B1" s="290"/>
      <c r="C1" s="290"/>
      <c r="D1" s="290"/>
      <c r="E1" s="290"/>
      <c r="F1" s="290"/>
      <c r="G1" s="291"/>
    </row>
    <row r="2" spans="1:7" ht="13.5" customHeight="1" x14ac:dyDescent="0.2">
      <c r="A2" s="212">
        <v>8609</v>
      </c>
      <c r="B2" s="292"/>
      <c r="C2" s="293"/>
      <c r="D2" s="294" t="e">
        <f>[1]!QUOTE($A$2,$B$2,"銘柄名")</f>
        <v>#VALUE!</v>
      </c>
      <c r="E2" s="292"/>
      <c r="F2" s="292"/>
      <c r="G2" s="293"/>
    </row>
    <row r="3" spans="1:7" ht="13.5" customHeight="1" x14ac:dyDescent="0.2">
      <c r="A3" s="2" t="s">
        <v>1</v>
      </c>
      <c r="B3" s="169" t="e">
        <f>[1]!QUOTE($A$2,$B$2,"現在値")</f>
        <v>#VALUE!</v>
      </c>
      <c r="C3" s="3" t="s">
        <v>2</v>
      </c>
      <c r="D3" s="171" t="e">
        <f>[1]!QUOTE($A$2,$B$2,"前日比")</f>
        <v>#VALUE!</v>
      </c>
      <c r="E3" s="51" t="e">
        <f>"("&amp;[1]!QUOTE($A$2,$B$2,"前日比率")&amp;")"</f>
        <v>#VALUE!</v>
      </c>
      <c r="F3" s="3" t="s">
        <v>3</v>
      </c>
      <c r="G3" s="4" t="e">
        <f>[1]!QUOTE($A$2,$B$2,"出来高")</f>
        <v>#VALUE!</v>
      </c>
    </row>
    <row r="4" spans="1:7" ht="13.5" customHeight="1" x14ac:dyDescent="0.2">
      <c r="A4" s="5" t="s">
        <v>4</v>
      </c>
      <c r="B4" s="6" t="e">
        <f>[1]!QUOTE($A$2,$B$2,"売買代金")</f>
        <v>#VALUE!</v>
      </c>
      <c r="C4" s="7" t="s">
        <v>48</v>
      </c>
      <c r="D4" s="295" t="e">
        <f>[1]!QUOTE($A$2,$B$2,"約定数量")</f>
        <v>#VALUE!</v>
      </c>
      <c r="E4" s="296"/>
      <c r="F4" s="7" t="s">
        <v>47</v>
      </c>
      <c r="G4" s="8" t="e">
        <f>[1]!QUOTE($A$2,$B$2,"VWAP")</f>
        <v>#VALUE!</v>
      </c>
    </row>
    <row r="5" spans="1:7" ht="13.5" customHeight="1" x14ac:dyDescent="0.2">
      <c r="A5" s="9" t="s">
        <v>5</v>
      </c>
      <c r="B5" s="170" t="e">
        <f>[1]!QUOTE($A$2,$B$2,"前日終値")</f>
        <v>#VALUE!</v>
      </c>
      <c r="C5" s="10" t="s">
        <v>43</v>
      </c>
      <c r="D5" s="297" t="e">
        <f>[1]!QUOTE($A$2,$B$2,"HV")</f>
        <v>#VALUE!</v>
      </c>
      <c r="E5" s="298"/>
      <c r="F5" s="10" t="s">
        <v>52</v>
      </c>
      <c r="G5" s="11" t="e">
        <f>[1]!QUOTE($A$2,$B$2,"売買単位")</f>
        <v>#VALUE!</v>
      </c>
    </row>
    <row r="6" spans="1:7" ht="13.5" customHeight="1" x14ac:dyDescent="0.2">
      <c r="A6" s="12"/>
      <c r="B6" s="294" t="s">
        <v>44</v>
      </c>
      <c r="C6" s="293"/>
      <c r="D6" s="294" t="s">
        <v>45</v>
      </c>
      <c r="E6" s="293"/>
      <c r="F6" s="292" t="s">
        <v>6</v>
      </c>
      <c r="G6" s="293"/>
    </row>
    <row r="7" spans="1:7" ht="13.5" customHeight="1" x14ac:dyDescent="0.2">
      <c r="A7" s="14" t="s">
        <v>7</v>
      </c>
      <c r="B7" s="166" t="e">
        <f>[1]!QUOTE($A$2,$B$2,"前場始値")</f>
        <v>#VALUE!</v>
      </c>
      <c r="C7" s="15" t="e">
        <f>[1]!QUOTE($A$2,$B$2,"前場始値時間")</f>
        <v>#VALUE!</v>
      </c>
      <c r="D7" s="166" t="e">
        <f>[1]!QUOTE($A$2,$B$2,"後場始値")</f>
        <v>#VALUE!</v>
      </c>
      <c r="E7" s="15" t="e">
        <f>[1]!QUOTE($A$2,$B$2,"後場始値時間")</f>
        <v>#VALUE!</v>
      </c>
      <c r="F7" s="172" t="e">
        <f>[1]!QUOTE($A$2,$B$2,"始値")</f>
        <v>#VALUE!</v>
      </c>
      <c r="G7" s="15" t="e">
        <f>[1]!QUOTE($A$2,$B$2,"始値時刻")</f>
        <v>#VALUE!</v>
      </c>
    </row>
    <row r="8" spans="1:7" ht="13.5" customHeight="1" x14ac:dyDescent="0.2">
      <c r="A8" s="16" t="s">
        <v>8</v>
      </c>
      <c r="B8" s="167" t="e">
        <f>[1]!QUOTE($A$2,$B$2,"前場高値")</f>
        <v>#VALUE!</v>
      </c>
      <c r="C8" s="17" t="e">
        <f>[1]!QUOTE($A$2,$B$2,"前場高値時間")</f>
        <v>#VALUE!</v>
      </c>
      <c r="D8" s="167" t="e">
        <f>[1]!QUOTE($A$2,$B$2,"後場高値")</f>
        <v>#VALUE!</v>
      </c>
      <c r="E8" s="17" t="e">
        <f>[1]!QUOTE($A$2,$B$2,"後場高値時間")</f>
        <v>#VALUE!</v>
      </c>
      <c r="F8" s="173" t="e">
        <f>[1]!QUOTE($A$2,$B$2,"高値")</f>
        <v>#VALUE!</v>
      </c>
      <c r="G8" s="18" t="e">
        <f>[1]!QUOTE($A$2,$B$2,"高値時刻")</f>
        <v>#VALUE!</v>
      </c>
    </row>
    <row r="9" spans="1:7" ht="13.5" customHeight="1" x14ac:dyDescent="0.2">
      <c r="A9" s="16" t="s">
        <v>9</v>
      </c>
      <c r="B9" s="167" t="e">
        <f>[1]!QUOTE($A$2,$B$2,"前場安値")</f>
        <v>#VALUE!</v>
      </c>
      <c r="C9" s="17" t="e">
        <f>[1]!QUOTE($A$2,$B$2,"前場安値時間")</f>
        <v>#VALUE!</v>
      </c>
      <c r="D9" s="167" t="e">
        <f>[1]!QUOTE($A$2,$B$2,"後場安値")</f>
        <v>#VALUE!</v>
      </c>
      <c r="E9" s="17" t="e">
        <f>[1]!QUOTE($A$2,$B$2,"後場安値時間")</f>
        <v>#VALUE!</v>
      </c>
      <c r="F9" s="173" t="e">
        <f>[1]!QUOTE($A$2,$B$2,"安値")</f>
        <v>#VALUE!</v>
      </c>
      <c r="G9" s="18" t="e">
        <f>[1]!QUOTE($A$2,$B$2,"安値時刻")</f>
        <v>#VALUE!</v>
      </c>
    </row>
    <row r="10" spans="1:7" ht="13.5" customHeight="1" x14ac:dyDescent="0.2">
      <c r="A10" s="19" t="s">
        <v>10</v>
      </c>
      <c r="B10" s="168" t="e">
        <f>[1]!QUOTE($A$2,$B$2,"前場終値")</f>
        <v>#VALUE!</v>
      </c>
      <c r="C10" s="20" t="e">
        <f>[1]!QUOTE($A$2,$B$2,"前場終値時間")</f>
        <v>#VALUE!</v>
      </c>
      <c r="D10" s="168" t="e">
        <f>[1]!QUOTE($A$2,$B$2,"後場終値")</f>
        <v>#VALUE!</v>
      </c>
      <c r="E10" s="20" t="e">
        <f>[1]!QUOTE($A$2,$B$2,"後場終値時間")</f>
        <v>#VALUE!</v>
      </c>
      <c r="F10" s="174"/>
      <c r="G10" s="21"/>
    </row>
    <row r="11" spans="1:7" ht="13.5" customHeight="1" x14ac:dyDescent="0.2">
      <c r="A11" s="13" t="s">
        <v>11</v>
      </c>
      <c r="B11" s="294" t="s">
        <v>12</v>
      </c>
      <c r="C11" s="293"/>
      <c r="D11" s="292" t="s">
        <v>49</v>
      </c>
      <c r="E11" s="292"/>
      <c r="F11" s="294" t="s">
        <v>46</v>
      </c>
      <c r="G11" s="293"/>
    </row>
    <row r="12" spans="1:7" ht="13.5" customHeight="1" x14ac:dyDescent="0.2">
      <c r="A12" s="175" t="e">
        <f>[1]!QUOTE($A$2,$B$2,"値幅下限")</f>
        <v>#VALUE!</v>
      </c>
      <c r="B12" s="308" t="e">
        <f>[1]!QUOTE($A$2,$B$2,"5年来高値")</f>
        <v>#VALUE!</v>
      </c>
      <c r="C12" s="309"/>
      <c r="D12" s="303" t="e">
        <f>[1]!QUOTE($A$2,$B$2,"配当落日")</f>
        <v>#VALUE!</v>
      </c>
      <c r="E12" s="303"/>
      <c r="F12" s="299" t="e">
        <f>[1]!QUOTE($A$2,$B$2,"年初来高値")</f>
        <v>#VALUE!</v>
      </c>
      <c r="G12" s="300"/>
    </row>
    <row r="13" spans="1:7" ht="13.5" customHeight="1" x14ac:dyDescent="0.2">
      <c r="A13" s="177" t="e">
        <f>[1]!QUOTE($A$2,$B$2,"値幅上限")</f>
        <v>#VALUE!</v>
      </c>
      <c r="B13" s="312" t="e">
        <f>[1]!QUOTE($A$2,$B$2,"5年来高値日付")</f>
        <v>#VALUE!</v>
      </c>
      <c r="C13" s="313"/>
      <c r="D13" s="304" t="e">
        <f>[1]!QUOTE($A$2,$B$2,"配当")</f>
        <v>#VALUE!</v>
      </c>
      <c r="E13" s="304"/>
      <c r="F13" s="306" t="e">
        <f>[1]!QUOTE($A$2,$B$2,"年初来高値日付")</f>
        <v>#VALUE!</v>
      </c>
      <c r="G13" s="307"/>
    </row>
    <row r="14" spans="1:7" ht="13.5" customHeight="1" x14ac:dyDescent="0.2">
      <c r="A14" s="13" t="s">
        <v>13</v>
      </c>
      <c r="B14" s="294" t="s">
        <v>14</v>
      </c>
      <c r="C14" s="293"/>
      <c r="D14" s="292" t="s">
        <v>50</v>
      </c>
      <c r="E14" s="292"/>
      <c r="F14" s="294" t="s">
        <v>51</v>
      </c>
      <c r="G14" s="293"/>
    </row>
    <row r="15" spans="1:7" ht="13.5" customHeight="1" x14ac:dyDescent="0.2">
      <c r="A15" s="175" t="e">
        <f>[1]!QUOTE($A$2,$B$2,"売気配値")</f>
        <v>#VALUE!</v>
      </c>
      <c r="B15" s="308" t="e">
        <f>[1]!QUOTE($A$2,$B$2,"5年来安値")</f>
        <v>#VALUE!</v>
      </c>
      <c r="C15" s="309"/>
      <c r="D15" s="305" t="e">
        <f>[1]!QUOTE($A$2,$B$2,"PBR")</f>
        <v>#VALUE!</v>
      </c>
      <c r="E15" s="305"/>
      <c r="F15" s="299" t="e">
        <f>[1]!QUOTE($A$2,$B$2,"年初来安値")</f>
        <v>#VALUE!</v>
      </c>
      <c r="G15" s="300"/>
    </row>
    <row r="16" spans="1:7" ht="13.5" customHeight="1" x14ac:dyDescent="0.2">
      <c r="A16" s="176" t="e">
        <f>[1]!QUOTE($A$2,$B$2,"買気配値")</f>
        <v>#VALUE!</v>
      </c>
      <c r="B16" s="310" t="e">
        <f>[1]!QUOTE($A$2,$B$2,"5年来安値日付")</f>
        <v>#VALUE!</v>
      </c>
      <c r="C16" s="311"/>
      <c r="D16" s="287" t="e">
        <f>[1]!QUOTE($A$2,$B$2,"PER")</f>
        <v>#VALUE!</v>
      </c>
      <c r="E16" s="288"/>
      <c r="F16" s="301" t="e">
        <f>[1]!QUOTE($A$2,$B$2,"年初来安値日付")</f>
        <v>#VALUE!</v>
      </c>
      <c r="G16" s="302"/>
    </row>
  </sheetData>
  <mergeCells count="26">
    <mergeCell ref="B16:C16"/>
    <mergeCell ref="B11:C11"/>
    <mergeCell ref="B12:C12"/>
    <mergeCell ref="B13:C13"/>
    <mergeCell ref="B14:C14"/>
    <mergeCell ref="D15:E15"/>
    <mergeCell ref="F11:G11"/>
    <mergeCell ref="F12:G12"/>
    <mergeCell ref="F13:G13"/>
    <mergeCell ref="B15:C15"/>
    <mergeCell ref="D16:E16"/>
    <mergeCell ref="A1:G1"/>
    <mergeCell ref="B2:C2"/>
    <mergeCell ref="D2:G2"/>
    <mergeCell ref="D4:E4"/>
    <mergeCell ref="F14:G14"/>
    <mergeCell ref="D5:E5"/>
    <mergeCell ref="B6:C6"/>
    <mergeCell ref="D6:E6"/>
    <mergeCell ref="F6:G6"/>
    <mergeCell ref="F15:G15"/>
    <mergeCell ref="F16:G16"/>
    <mergeCell ref="D11:E11"/>
    <mergeCell ref="D12:E12"/>
    <mergeCell ref="D13:E13"/>
    <mergeCell ref="D14:E14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3"/>
  <sheetViews>
    <sheetView showZeros="0" workbookViewId="0">
      <selection activeCell="H11" sqref="H11"/>
    </sheetView>
  </sheetViews>
  <sheetFormatPr defaultColWidth="9" defaultRowHeight="13.5" customHeight="1" x14ac:dyDescent="0.2"/>
  <cols>
    <col min="1" max="1" width="8.08984375" style="22" customWidth="1"/>
    <col min="2" max="2" width="10.26953125" style="22" bestFit="1" customWidth="1"/>
    <col min="3" max="5" width="10.6328125" style="22" customWidth="1"/>
    <col min="6" max="6" width="1.90625" style="22" customWidth="1"/>
    <col min="7" max="16384" width="9" style="22"/>
  </cols>
  <sheetData>
    <row r="1" spans="1:6" ht="13.5" customHeight="1" x14ac:dyDescent="0.2">
      <c r="A1" s="314" t="s">
        <v>15</v>
      </c>
      <c r="B1" s="315"/>
      <c r="C1" s="315"/>
      <c r="D1" s="315"/>
      <c r="E1" s="316"/>
    </row>
    <row r="2" spans="1:6" ht="13.5" customHeight="1" x14ac:dyDescent="0.2">
      <c r="A2" s="332">
        <v>8609</v>
      </c>
      <c r="B2" s="334"/>
      <c r="C2" s="327" t="e">
        <f>[1]!QUOTE($A$2,$B$2,"銘柄名")</f>
        <v>#VALUE!</v>
      </c>
      <c r="D2" s="328"/>
      <c r="E2" s="329"/>
    </row>
    <row r="3" spans="1:6" ht="13.5" customHeight="1" x14ac:dyDescent="0.2">
      <c r="A3" s="333"/>
      <c r="B3" s="335"/>
      <c r="C3" s="23" t="s">
        <v>16</v>
      </c>
      <c r="D3" s="24" t="e">
        <f>[1]!QUOTE($A$2,$B$2,"前日比")</f>
        <v>#VALUE!</v>
      </c>
      <c r="E3" s="25" t="e">
        <f>"("&amp;[1]!QUOTE($A$2,$B$2,"前日比率")&amp;")"</f>
        <v>#VALUE!</v>
      </c>
    </row>
    <row r="4" spans="1:6" ht="13.5" customHeight="1" x14ac:dyDescent="0.2">
      <c r="A4" s="26" t="s">
        <v>1</v>
      </c>
      <c r="B4" s="178" t="e">
        <f>[1]!QUOTE($A$2,$B$2,"現在値")</f>
        <v>#VALUE!</v>
      </c>
      <c r="C4" s="28" t="s">
        <v>17</v>
      </c>
      <c r="D4" s="321" t="s">
        <v>18</v>
      </c>
      <c r="E4" s="30" t="s">
        <v>19</v>
      </c>
      <c r="F4" s="31"/>
    </row>
    <row r="5" spans="1:6" ht="13.5" customHeight="1" x14ac:dyDescent="0.2">
      <c r="A5" s="26" t="s">
        <v>3</v>
      </c>
      <c r="B5" s="27" t="e">
        <f>[1]!QUOTE($A$2,$B$2,"出来高")</f>
        <v>#VALUE!</v>
      </c>
      <c r="C5" s="32" t="e">
        <f>1-E5</f>
        <v>#VALUE!</v>
      </c>
      <c r="D5" s="322"/>
      <c r="E5" s="33" t="e">
        <f>[1]!QUOTE($A$2,$B$2,"買付強度")</f>
        <v>#VALUE!</v>
      </c>
    </row>
    <row r="6" spans="1:6" ht="13.5" customHeight="1" x14ac:dyDescent="0.2">
      <c r="A6" s="323" t="s">
        <v>20</v>
      </c>
      <c r="B6" s="324"/>
      <c r="C6" s="28" t="s">
        <v>21</v>
      </c>
      <c r="D6" s="29" t="s">
        <v>22</v>
      </c>
      <c r="E6" s="30" t="s">
        <v>23</v>
      </c>
    </row>
    <row r="7" spans="1:6" ht="13.5" customHeight="1" x14ac:dyDescent="0.2">
      <c r="A7" s="325"/>
      <c r="B7" s="326"/>
      <c r="C7" s="34" t="e">
        <f>[1]!BOARD(A2,B2,"成行売気配数量")</f>
        <v>#VALUE!</v>
      </c>
      <c r="D7" s="35" t="s">
        <v>24</v>
      </c>
      <c r="E7" s="36" t="e">
        <f>[1]!BOARD(A2,B2,"成行買気配数量")</f>
        <v>#VALUE!</v>
      </c>
    </row>
    <row r="8" spans="1:6" ht="13.5" customHeight="1" x14ac:dyDescent="0.2">
      <c r="A8" s="330" t="e">
        <f>[1]!BOARD(A2,B2,"出来高-2")</f>
        <v>#VALUE!</v>
      </c>
      <c r="B8" s="331"/>
      <c r="C8" s="37" t="e">
        <f>[1]!BOARD(A2,B2,"売気配数量-2")</f>
        <v>#VALUE!</v>
      </c>
      <c r="D8" s="163" t="e">
        <f>[1]!BOARD(A2,B2,"気配値-2")</f>
        <v>#VALUE!</v>
      </c>
      <c r="E8" s="38" t="e">
        <f>[1]!BOARD(A2,B2,"買気配数量-2")</f>
        <v>#VALUE!</v>
      </c>
    </row>
    <row r="9" spans="1:6" ht="13.5" customHeight="1" x14ac:dyDescent="0.2">
      <c r="A9" s="317" t="e">
        <f>[1]!BOARD(A2,B2,"出来高-1")</f>
        <v>#VALUE!</v>
      </c>
      <c r="B9" s="318"/>
      <c r="C9" s="39" t="e">
        <f>[1]!BOARD(A2,B2,"売気配数量-1")</f>
        <v>#VALUE!</v>
      </c>
      <c r="D9" s="164" t="e">
        <f>[1]!BOARD(A2,B2,"気配値-1")</f>
        <v>#VALUE!</v>
      </c>
      <c r="E9" s="40" t="e">
        <f>[1]!BOARD(A2,B2,"買気配数量-1")</f>
        <v>#VALUE!</v>
      </c>
    </row>
    <row r="10" spans="1:6" ht="13.5" customHeight="1" x14ac:dyDescent="0.2">
      <c r="A10" s="317" t="e">
        <f>[1]!BOARD(A2,B2,"出来高0")</f>
        <v>#VALUE!</v>
      </c>
      <c r="B10" s="318"/>
      <c r="C10" s="39" t="e">
        <f>[1]!BOARD(A2,B2,"売気配数量0")</f>
        <v>#VALUE!</v>
      </c>
      <c r="D10" s="164" t="e">
        <f>[1]!BOARD(A2,B2,"気配値0")</f>
        <v>#VALUE!</v>
      </c>
      <c r="E10" s="40" t="e">
        <f>[1]!BOARD(A2,B2,"買気配数量0")</f>
        <v>#VALUE!</v>
      </c>
    </row>
    <row r="11" spans="1:6" ht="13.5" customHeight="1" x14ac:dyDescent="0.2">
      <c r="A11" s="317" t="e">
        <f>[1]!BOARD(A2,B2,"出来高1")</f>
        <v>#VALUE!</v>
      </c>
      <c r="B11" s="318"/>
      <c r="C11" s="39" t="e">
        <f>[1]!BOARD(A2,B2,"売気配数量1")</f>
        <v>#VALUE!</v>
      </c>
      <c r="D11" s="164" t="e">
        <f>[1]!BOARD(A2,B2,"気配値1")</f>
        <v>#VALUE!</v>
      </c>
      <c r="E11" s="40" t="e">
        <f>[1]!BOARD(A2,B2,"買気配数量1")</f>
        <v>#VALUE!</v>
      </c>
    </row>
    <row r="12" spans="1:6" ht="13.5" customHeight="1" x14ac:dyDescent="0.2">
      <c r="A12" s="317" t="e">
        <f>[1]!BOARD(A2,B2,"出来高2")</f>
        <v>#VALUE!</v>
      </c>
      <c r="B12" s="318"/>
      <c r="C12" s="39" t="e">
        <f>[1]!BOARD(A2,B2,"売気配数量2")</f>
        <v>#VALUE!</v>
      </c>
      <c r="D12" s="164" t="e">
        <f>[1]!BOARD(A2,B2,"気配値2")</f>
        <v>#VALUE!</v>
      </c>
      <c r="E12" s="40" t="e">
        <f>[1]!BOARD(A2,B2,"買気配数量2")</f>
        <v>#VALUE!</v>
      </c>
    </row>
    <row r="13" spans="1:6" ht="13.5" customHeight="1" x14ac:dyDescent="0.2">
      <c r="A13" s="317" t="e">
        <f>[1]!BOARD(A2,B2,"出来高3")</f>
        <v>#VALUE!</v>
      </c>
      <c r="B13" s="318"/>
      <c r="C13" s="39" t="e">
        <f>[1]!BOARD(A2,B2,"売気配数量3")</f>
        <v>#VALUE!</v>
      </c>
      <c r="D13" s="164" t="e">
        <f>[1]!BOARD(A2,B2,"気配値3")</f>
        <v>#VALUE!</v>
      </c>
      <c r="E13" s="40" t="e">
        <f>[1]!BOARD(A2,B2,"買気配数量3")</f>
        <v>#VALUE!</v>
      </c>
    </row>
    <row r="14" spans="1:6" ht="13.5" customHeight="1" x14ac:dyDescent="0.2">
      <c r="A14" s="317" t="e">
        <f>[1]!BOARD(A2,B2,"出来高4")</f>
        <v>#VALUE!</v>
      </c>
      <c r="B14" s="318"/>
      <c r="C14" s="39" t="e">
        <f>[1]!BOARD(A2,B2,"売気配数量4")</f>
        <v>#VALUE!</v>
      </c>
      <c r="D14" s="164" t="e">
        <f>[1]!BOARD(A2,B2,"気配値4")</f>
        <v>#VALUE!</v>
      </c>
      <c r="E14" s="40" t="e">
        <f>[1]!BOARD(A2,B2,"買気配数量4")</f>
        <v>#VALUE!</v>
      </c>
    </row>
    <row r="15" spans="1:6" ht="13.5" customHeight="1" x14ac:dyDescent="0.2">
      <c r="A15" s="317" t="e">
        <f>[1]!BOARD(A2,B2,"出来高5")</f>
        <v>#VALUE!</v>
      </c>
      <c r="B15" s="318"/>
      <c r="C15" s="39" t="e">
        <f>[1]!BOARD(A2,B2,"売気配数量5")</f>
        <v>#VALUE!</v>
      </c>
      <c r="D15" s="164" t="e">
        <f>[1]!BOARD(A2,B2,"気配値5")</f>
        <v>#VALUE!</v>
      </c>
      <c r="E15" s="40" t="e">
        <f>[1]!BOARD(A2,B2,"買気配数量5")</f>
        <v>#VALUE!</v>
      </c>
    </row>
    <row r="16" spans="1:6" ht="13.5" customHeight="1" x14ac:dyDescent="0.2">
      <c r="A16" s="317" t="e">
        <f>[1]!BOARD(A2,B2,"出来高6")</f>
        <v>#VALUE!</v>
      </c>
      <c r="B16" s="318"/>
      <c r="C16" s="39" t="e">
        <f>[1]!BOARD(A2,B2,"売気配数量6")</f>
        <v>#VALUE!</v>
      </c>
      <c r="D16" s="164" t="e">
        <f>[1]!BOARD(A2,B2,"気配値6")</f>
        <v>#VALUE!</v>
      </c>
      <c r="E16" s="40" t="e">
        <f>[1]!BOARD(A2,B2,"買気配数量6")</f>
        <v>#VALUE!</v>
      </c>
    </row>
    <row r="17" spans="1:5" ht="13.5" customHeight="1" x14ac:dyDescent="0.2">
      <c r="A17" s="317" t="e">
        <f>[1]!BOARD(A2,B2,"出来高7")</f>
        <v>#VALUE!</v>
      </c>
      <c r="B17" s="318"/>
      <c r="C17" s="39" t="e">
        <f>[1]!BOARD(A2,B2,"売気配数量7")</f>
        <v>#VALUE!</v>
      </c>
      <c r="D17" s="164" t="e">
        <f>[1]!BOARD(A2,B2,"気配値7")</f>
        <v>#VALUE!</v>
      </c>
      <c r="E17" s="40" t="e">
        <f>[1]!BOARD(A2,B2,"買気配数量7")</f>
        <v>#VALUE!</v>
      </c>
    </row>
    <row r="18" spans="1:5" ht="13.5" customHeight="1" x14ac:dyDescent="0.2">
      <c r="A18" s="317" t="e">
        <f>[1]!BOARD(A2,B2,"出来高8")</f>
        <v>#VALUE!</v>
      </c>
      <c r="B18" s="318"/>
      <c r="C18" s="39" t="e">
        <f>[1]!BOARD(A2,B2,"売気配数量8")</f>
        <v>#VALUE!</v>
      </c>
      <c r="D18" s="164" t="e">
        <f>[1]!BOARD(A2,B2,"気配値8")</f>
        <v>#VALUE!</v>
      </c>
      <c r="E18" s="40" t="e">
        <f>[1]!BOARD(A2,B2,"買気配数量8")</f>
        <v>#VALUE!</v>
      </c>
    </row>
    <row r="19" spans="1:5" ht="13.5" customHeight="1" x14ac:dyDescent="0.2">
      <c r="A19" s="317" t="e">
        <f>[1]!BOARD(A2,B2,"出来高9")</f>
        <v>#VALUE!</v>
      </c>
      <c r="B19" s="318"/>
      <c r="C19" s="39" t="e">
        <f>[1]!BOARD(A2,B2,"売気配数量9")</f>
        <v>#VALUE!</v>
      </c>
      <c r="D19" s="164" t="e">
        <f>[1]!BOARD(A2,B2,"気配値9")</f>
        <v>#VALUE!</v>
      </c>
      <c r="E19" s="40" t="e">
        <f>[1]!BOARD(A2,B2,"買気配数量9")</f>
        <v>#VALUE!</v>
      </c>
    </row>
    <row r="20" spans="1:5" ht="13.5" customHeight="1" x14ac:dyDescent="0.2">
      <c r="A20" s="317" t="e">
        <f>[1]!BOARD(A2,B2,"出来高10")</f>
        <v>#VALUE!</v>
      </c>
      <c r="B20" s="318"/>
      <c r="C20" s="39" t="e">
        <f>[1]!BOARD(A2,B2,"売気配数量10")</f>
        <v>#VALUE!</v>
      </c>
      <c r="D20" s="164" t="e">
        <f>[1]!BOARD(A2,B2,"気配値10")</f>
        <v>#VALUE!</v>
      </c>
      <c r="E20" s="40" t="e">
        <f>[1]!BOARD(A2,B2,"買気配数量10")</f>
        <v>#VALUE!</v>
      </c>
    </row>
    <row r="21" spans="1:5" ht="13.5" customHeight="1" x14ac:dyDescent="0.2">
      <c r="A21" s="317" t="e">
        <f>[1]!BOARD(A2,B2,"出来高11")</f>
        <v>#VALUE!</v>
      </c>
      <c r="B21" s="318"/>
      <c r="C21" s="39" t="e">
        <f>[1]!BOARD(A2,B2,"売気配数量11")</f>
        <v>#VALUE!</v>
      </c>
      <c r="D21" s="164" t="e">
        <f>[1]!BOARD(A2,B2,"気配値11")</f>
        <v>#VALUE!</v>
      </c>
      <c r="E21" s="40" t="e">
        <f>[1]!BOARD(A2,B2,"買気配数量11")</f>
        <v>#VALUE!</v>
      </c>
    </row>
    <row r="22" spans="1:5" ht="13.5" customHeight="1" x14ac:dyDescent="0.2">
      <c r="A22" s="317" t="e">
        <f>[1]!BOARD(A2,B2,"出来高12")</f>
        <v>#VALUE!</v>
      </c>
      <c r="B22" s="318"/>
      <c r="C22" s="39" t="e">
        <f>[1]!BOARD(A2,B2,"売気配数量12")</f>
        <v>#VALUE!</v>
      </c>
      <c r="D22" s="164" t="e">
        <f>[1]!BOARD(A2,B2,"気配値12")</f>
        <v>#VALUE!</v>
      </c>
      <c r="E22" s="40" t="e">
        <f>[1]!BOARD(A2,B2,"買気配数量12")</f>
        <v>#VALUE!</v>
      </c>
    </row>
    <row r="23" spans="1:5" ht="13.5" customHeight="1" x14ac:dyDescent="0.2">
      <c r="A23" s="319" t="e">
        <f>[1]!BOARD(A2,B2,"出来高13")</f>
        <v>#VALUE!</v>
      </c>
      <c r="B23" s="320"/>
      <c r="C23" s="34" t="e">
        <f>[1]!BOARD(A2,B2,"売気配数量13")</f>
        <v>#VALUE!</v>
      </c>
      <c r="D23" s="165" t="e">
        <f>[1]!BOARD(A2,B2,"気配値13")</f>
        <v>#VALUE!</v>
      </c>
      <c r="E23" s="36" t="e">
        <f>[1]!BOARD(A2,B2,"買気配数量13")</f>
        <v>#VALUE!</v>
      </c>
    </row>
  </sheetData>
  <mergeCells count="22">
    <mergeCell ref="A10:B10"/>
    <mergeCell ref="C2:E2"/>
    <mergeCell ref="A8:B8"/>
    <mergeCell ref="A2:A3"/>
    <mergeCell ref="B2:B3"/>
    <mergeCell ref="A9:B9"/>
    <mergeCell ref="A1:E1"/>
    <mergeCell ref="A21:B21"/>
    <mergeCell ref="A22:B22"/>
    <mergeCell ref="A23:B23"/>
    <mergeCell ref="D4:D5"/>
    <mergeCell ref="A6:B7"/>
    <mergeCell ref="A17:B17"/>
    <mergeCell ref="A19:B19"/>
    <mergeCell ref="A18:B18"/>
    <mergeCell ref="A20:B20"/>
    <mergeCell ref="A11:B11"/>
    <mergeCell ref="A12:B12"/>
    <mergeCell ref="A13:B13"/>
    <mergeCell ref="A14:B14"/>
    <mergeCell ref="A15:B15"/>
    <mergeCell ref="A16:B16"/>
  </mergeCells>
  <phoneticPr fontId="3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8"/>
  <sheetViews>
    <sheetView workbookViewId="0">
      <selection activeCell="J14" sqref="J14"/>
    </sheetView>
  </sheetViews>
  <sheetFormatPr defaultRowHeight="13" x14ac:dyDescent="0.2"/>
  <cols>
    <col min="2" max="2" width="11.36328125" customWidth="1"/>
    <col min="3" max="3" width="9" style="181"/>
    <col min="4" max="7" width="9" style="179"/>
    <col min="8" max="8" width="9" style="85"/>
    <col min="9" max="9" width="3.08984375" customWidth="1"/>
    <col min="12" max="12" width="3.08984375" customWidth="1"/>
  </cols>
  <sheetData>
    <row r="1" spans="1:13" x14ac:dyDescent="0.2">
      <c r="A1" s="289" t="s">
        <v>25</v>
      </c>
      <c r="B1" s="290"/>
      <c r="C1" s="290"/>
      <c r="D1" s="290"/>
      <c r="E1" s="290"/>
      <c r="F1" s="290"/>
      <c r="G1" s="290"/>
      <c r="H1" s="291"/>
      <c r="J1" s="336" t="s">
        <v>26</v>
      </c>
      <c r="K1" s="337"/>
      <c r="M1" t="e">
        <f>[1]!candle($K$2,$K$3,$K$4,$K$5,"市場コード",A3,$K$6,$K$7)</f>
        <v>#N/A</v>
      </c>
    </row>
    <row r="2" spans="1:13" x14ac:dyDescent="0.2">
      <c r="A2" t="s">
        <v>27</v>
      </c>
      <c r="B2" t="s">
        <v>28</v>
      </c>
      <c r="C2" s="181" t="s">
        <v>29</v>
      </c>
      <c r="D2" t="s">
        <v>30</v>
      </c>
      <c r="E2" t="s">
        <v>8</v>
      </c>
      <c r="F2" t="s">
        <v>9</v>
      </c>
      <c r="G2" t="s">
        <v>10</v>
      </c>
      <c r="H2" t="s">
        <v>3</v>
      </c>
      <c r="J2" s="42" t="s">
        <v>54</v>
      </c>
      <c r="K2" s="213">
        <v>8609</v>
      </c>
      <c r="M2" t="e">
        <f>[1]!candle($K$2,$K$3,$K$4,$K$5,"取引日付",B3,$K$6,$K$7)</f>
        <v>#N/A</v>
      </c>
    </row>
    <row r="3" spans="1:13" x14ac:dyDescent="0.2">
      <c r="A3" s="41" t="s">
        <v>147</v>
      </c>
      <c r="B3" s="180">
        <v>45013</v>
      </c>
      <c r="C3" s="181">
        <v>0.375</v>
      </c>
      <c r="D3" s="179">
        <v>481</v>
      </c>
      <c r="E3" s="179">
        <v>481</v>
      </c>
      <c r="F3" s="179">
        <v>481</v>
      </c>
      <c r="G3" s="179">
        <v>481</v>
      </c>
      <c r="H3" s="85">
        <v>0</v>
      </c>
      <c r="J3" s="42" t="s">
        <v>53</v>
      </c>
      <c r="K3" s="214"/>
      <c r="M3" t="e">
        <f>[1]!candle($K$2,$K$3,$K$4,$K$5,"約定時刻",C3,$K$6,$K$7)</f>
        <v>#N/A</v>
      </c>
    </row>
    <row r="4" spans="1:13" x14ac:dyDescent="0.2">
      <c r="A4" s="41" t="s">
        <v>147</v>
      </c>
      <c r="B4" s="180">
        <v>45013</v>
      </c>
      <c r="C4" s="181">
        <v>0.3756944444444445</v>
      </c>
      <c r="D4" s="179">
        <v>481</v>
      </c>
      <c r="E4" s="179">
        <v>481</v>
      </c>
      <c r="F4" s="179">
        <v>481</v>
      </c>
      <c r="G4" s="179">
        <v>481</v>
      </c>
      <c r="H4" s="85">
        <v>0</v>
      </c>
      <c r="J4" s="42" t="s">
        <v>31</v>
      </c>
      <c r="K4" s="213">
        <v>1</v>
      </c>
      <c r="M4" t="e">
        <f>[1]!candle($K$2,$K$3,$K$4,$K$5,"始値",D3,$K$6,$K$7)</f>
        <v>#N/A</v>
      </c>
    </row>
    <row r="5" spans="1:13" x14ac:dyDescent="0.2">
      <c r="A5" s="41" t="s">
        <v>147</v>
      </c>
      <c r="B5" s="180">
        <v>45013</v>
      </c>
      <c r="C5" s="181">
        <v>0.37638888888888888</v>
      </c>
      <c r="D5" s="179">
        <v>481</v>
      </c>
      <c r="E5" s="179">
        <v>481</v>
      </c>
      <c r="F5" s="179">
        <v>481</v>
      </c>
      <c r="G5" s="179">
        <v>481</v>
      </c>
      <c r="H5" s="85">
        <v>0</v>
      </c>
      <c r="J5" s="42" t="s">
        <v>32</v>
      </c>
      <c r="K5" s="213">
        <v>3</v>
      </c>
      <c r="M5" t="e">
        <f>[1]!candle($K$2,$K$3,$K$4,$K$5,"高値",E3,$K$6,$K$7)</f>
        <v>#N/A</v>
      </c>
    </row>
    <row r="6" spans="1:13" x14ac:dyDescent="0.2">
      <c r="A6" s="41" t="s">
        <v>147</v>
      </c>
      <c r="B6" s="180">
        <v>45013</v>
      </c>
      <c r="C6" s="181">
        <v>0.37708333333333338</v>
      </c>
      <c r="D6" s="179">
        <v>481</v>
      </c>
      <c r="E6" s="179">
        <v>481</v>
      </c>
      <c r="F6" s="179">
        <v>481</v>
      </c>
      <c r="G6" s="179">
        <v>481</v>
      </c>
      <c r="H6" s="85">
        <v>0</v>
      </c>
      <c r="J6" s="42" t="s">
        <v>33</v>
      </c>
      <c r="K6" s="213" t="s">
        <v>143</v>
      </c>
      <c r="M6" t="e">
        <f>[1]!candle($K$2,$K$3,$K$4,$K$5,"安値",F3,$K$6,$K$7)</f>
        <v>#N/A</v>
      </c>
    </row>
    <row r="7" spans="1:13" x14ac:dyDescent="0.2">
      <c r="A7" s="41" t="s">
        <v>147</v>
      </c>
      <c r="B7" s="180">
        <v>45013</v>
      </c>
      <c r="C7" s="181">
        <v>0.37777777777777777</v>
      </c>
      <c r="D7" s="179">
        <v>481</v>
      </c>
      <c r="E7" s="179">
        <v>481</v>
      </c>
      <c r="F7" s="179">
        <v>481</v>
      </c>
      <c r="G7" s="179">
        <v>481</v>
      </c>
      <c r="H7" s="85">
        <v>0</v>
      </c>
      <c r="J7" s="43" t="s">
        <v>34</v>
      </c>
      <c r="K7" s="215">
        <v>0</v>
      </c>
      <c r="M7" t="e">
        <f>[1]!candle($K$2,$K$3,$K$4,$K$5,"終値",G3,$K$6,$K$7)</f>
        <v>#N/A</v>
      </c>
    </row>
    <row r="8" spans="1:13" x14ac:dyDescent="0.2">
      <c r="A8" s="41" t="s">
        <v>147</v>
      </c>
      <c r="B8" s="180">
        <v>45013</v>
      </c>
      <c r="C8" s="181">
        <v>0.37847222222222227</v>
      </c>
      <c r="D8" s="179">
        <v>481</v>
      </c>
      <c r="E8" s="179">
        <v>481</v>
      </c>
      <c r="F8" s="179">
        <v>481</v>
      </c>
      <c r="G8" s="179">
        <v>481</v>
      </c>
      <c r="H8" s="85">
        <v>0</v>
      </c>
      <c r="M8" t="e">
        <f>[1]!candle($K$2,$K$3,$K$4,$K$5,"出来高",H3,$K$6,$K$7)</f>
        <v>#N/A</v>
      </c>
    </row>
    <row r="9" spans="1:13" x14ac:dyDescent="0.2">
      <c r="A9" s="41" t="s">
        <v>147</v>
      </c>
      <c r="B9" s="180">
        <v>45013</v>
      </c>
      <c r="C9" s="181">
        <v>0.37916666666666665</v>
      </c>
      <c r="D9" s="179">
        <v>481</v>
      </c>
      <c r="E9" s="179">
        <v>481</v>
      </c>
      <c r="F9" s="179">
        <v>481</v>
      </c>
      <c r="G9" s="179">
        <v>481</v>
      </c>
      <c r="H9" s="85">
        <v>0</v>
      </c>
    </row>
    <row r="10" spans="1:13" x14ac:dyDescent="0.2">
      <c r="A10" s="41" t="s">
        <v>147</v>
      </c>
      <c r="B10" s="180">
        <v>45013</v>
      </c>
      <c r="C10" s="181">
        <v>0.37986111111111115</v>
      </c>
      <c r="D10" s="179">
        <v>481</v>
      </c>
      <c r="E10" s="179">
        <v>481</v>
      </c>
      <c r="F10" s="179">
        <v>481</v>
      </c>
      <c r="G10" s="179">
        <v>481</v>
      </c>
      <c r="H10" s="85">
        <v>0</v>
      </c>
    </row>
    <row r="11" spans="1:13" x14ac:dyDescent="0.2">
      <c r="A11" s="41" t="s">
        <v>147</v>
      </c>
      <c r="B11" s="180">
        <v>45013</v>
      </c>
      <c r="C11" s="181">
        <v>0.38055555555555554</v>
      </c>
      <c r="D11" s="179">
        <v>481</v>
      </c>
      <c r="E11" s="179">
        <v>481</v>
      </c>
      <c r="F11" s="179">
        <v>481</v>
      </c>
      <c r="G11" s="179">
        <v>481</v>
      </c>
      <c r="H11" s="85">
        <v>0</v>
      </c>
    </row>
    <row r="12" spans="1:13" x14ac:dyDescent="0.2">
      <c r="A12" s="41" t="s">
        <v>147</v>
      </c>
      <c r="B12" s="180">
        <v>45013</v>
      </c>
      <c r="C12" s="181">
        <v>0.38125000000000003</v>
      </c>
      <c r="D12" s="179">
        <v>481</v>
      </c>
      <c r="E12" s="179">
        <v>481</v>
      </c>
      <c r="F12" s="179">
        <v>481</v>
      </c>
      <c r="G12" s="179">
        <v>481</v>
      </c>
      <c r="H12" s="85">
        <v>0</v>
      </c>
    </row>
    <row r="13" spans="1:13" x14ac:dyDescent="0.2">
      <c r="A13" t="s">
        <v>147</v>
      </c>
      <c r="B13" s="180">
        <v>45013</v>
      </c>
      <c r="C13" s="181">
        <v>0.38194444444444442</v>
      </c>
      <c r="D13" s="179">
        <v>515</v>
      </c>
      <c r="E13" s="179">
        <v>517</v>
      </c>
      <c r="F13" s="179">
        <v>496</v>
      </c>
      <c r="G13" s="179">
        <v>496</v>
      </c>
      <c r="H13" s="85">
        <v>1678300</v>
      </c>
    </row>
    <row r="14" spans="1:13" x14ac:dyDescent="0.2">
      <c r="A14" t="s">
        <v>147</v>
      </c>
      <c r="B14" s="180">
        <v>45013</v>
      </c>
      <c r="C14" s="181">
        <v>0.38263888888888892</v>
      </c>
      <c r="D14" s="179">
        <v>496</v>
      </c>
      <c r="E14" s="179">
        <v>500</v>
      </c>
      <c r="F14" s="179">
        <v>495</v>
      </c>
      <c r="G14" s="179">
        <v>495</v>
      </c>
      <c r="H14" s="85">
        <v>165500</v>
      </c>
    </row>
    <row r="15" spans="1:13" x14ac:dyDescent="0.2">
      <c r="A15" t="s">
        <v>147</v>
      </c>
      <c r="B15" s="180">
        <v>45013</v>
      </c>
      <c r="C15" s="181">
        <v>0.3833333333333333</v>
      </c>
      <c r="D15" s="179">
        <v>495</v>
      </c>
      <c r="E15" s="179">
        <v>499</v>
      </c>
      <c r="F15" s="179">
        <v>489</v>
      </c>
      <c r="G15" s="179">
        <v>489</v>
      </c>
      <c r="H15" s="85">
        <v>526400</v>
      </c>
    </row>
    <row r="16" spans="1:13" x14ac:dyDescent="0.2">
      <c r="A16" t="s">
        <v>147</v>
      </c>
      <c r="B16" s="180">
        <v>45013</v>
      </c>
      <c r="C16" s="181">
        <v>0.3840277777777778</v>
      </c>
      <c r="D16" s="179">
        <v>490</v>
      </c>
      <c r="E16" s="179">
        <v>497</v>
      </c>
      <c r="F16" s="179">
        <v>485</v>
      </c>
      <c r="G16" s="179">
        <v>495</v>
      </c>
      <c r="H16" s="85">
        <v>257600</v>
      </c>
    </row>
    <row r="17" spans="1:8" x14ac:dyDescent="0.2">
      <c r="A17" t="s">
        <v>147</v>
      </c>
      <c r="B17" s="180">
        <v>45013</v>
      </c>
      <c r="C17" s="181">
        <v>0.38472222222222219</v>
      </c>
      <c r="D17" s="179">
        <v>495</v>
      </c>
      <c r="E17" s="179">
        <v>496</v>
      </c>
      <c r="F17" s="179">
        <v>490</v>
      </c>
      <c r="G17" s="179">
        <v>494</v>
      </c>
      <c r="H17" s="85">
        <v>164100</v>
      </c>
    </row>
    <row r="18" spans="1:8" x14ac:dyDescent="0.2">
      <c r="A18" t="s">
        <v>147</v>
      </c>
      <c r="B18" s="180">
        <v>45013</v>
      </c>
      <c r="C18" s="181">
        <v>0.38541666666666669</v>
      </c>
      <c r="D18" s="179">
        <v>493</v>
      </c>
      <c r="E18" s="179">
        <v>494</v>
      </c>
      <c r="F18" s="179">
        <v>489</v>
      </c>
      <c r="G18" s="179">
        <v>490</v>
      </c>
      <c r="H18" s="85">
        <v>114800</v>
      </c>
    </row>
    <row r="19" spans="1:8" x14ac:dyDescent="0.2">
      <c r="A19" t="s">
        <v>147</v>
      </c>
      <c r="B19" s="180">
        <v>45013</v>
      </c>
      <c r="C19" s="181">
        <v>0.38611111111111113</v>
      </c>
      <c r="D19" s="179">
        <v>490</v>
      </c>
      <c r="E19" s="179">
        <v>490</v>
      </c>
      <c r="F19" s="179">
        <v>486</v>
      </c>
      <c r="G19" s="179">
        <v>486</v>
      </c>
      <c r="H19" s="85">
        <v>89900</v>
      </c>
    </row>
    <row r="20" spans="1:8" x14ac:dyDescent="0.2">
      <c r="A20" t="s">
        <v>147</v>
      </c>
      <c r="B20" s="180">
        <v>45013</v>
      </c>
      <c r="C20" s="181">
        <v>0.38680555555555557</v>
      </c>
      <c r="D20" s="179">
        <v>486</v>
      </c>
      <c r="E20" s="179">
        <v>490</v>
      </c>
      <c r="F20" s="179">
        <v>486</v>
      </c>
      <c r="G20" s="179">
        <v>487</v>
      </c>
      <c r="H20" s="85">
        <v>113200</v>
      </c>
    </row>
    <row r="21" spans="1:8" x14ac:dyDescent="0.2">
      <c r="A21" t="s">
        <v>147</v>
      </c>
      <c r="B21" s="180">
        <v>45013</v>
      </c>
      <c r="C21" s="181">
        <v>0.38750000000000001</v>
      </c>
      <c r="D21" s="179">
        <v>487</v>
      </c>
      <c r="E21" s="179">
        <v>490</v>
      </c>
      <c r="F21" s="179">
        <v>486</v>
      </c>
      <c r="G21" s="179">
        <v>489</v>
      </c>
      <c r="H21" s="85">
        <v>120200</v>
      </c>
    </row>
    <row r="22" spans="1:8" x14ac:dyDescent="0.2">
      <c r="A22" t="s">
        <v>147</v>
      </c>
      <c r="B22" s="180">
        <v>45013</v>
      </c>
      <c r="C22" s="181">
        <v>0.38819444444444445</v>
      </c>
      <c r="D22" s="179">
        <v>490</v>
      </c>
      <c r="E22" s="179">
        <v>490</v>
      </c>
      <c r="F22" s="179">
        <v>488</v>
      </c>
      <c r="G22" s="179">
        <v>489</v>
      </c>
      <c r="H22" s="85">
        <v>43300</v>
      </c>
    </row>
    <row r="23" spans="1:8" x14ac:dyDescent="0.2">
      <c r="A23" t="s">
        <v>147</v>
      </c>
      <c r="B23" s="180">
        <v>45013</v>
      </c>
      <c r="C23" s="181">
        <v>0.3888888888888889</v>
      </c>
      <c r="D23" s="179">
        <v>490</v>
      </c>
      <c r="E23" s="179">
        <v>490</v>
      </c>
      <c r="F23" s="179">
        <v>487</v>
      </c>
      <c r="G23" s="179">
        <v>490</v>
      </c>
      <c r="H23" s="85">
        <v>43600</v>
      </c>
    </row>
    <row r="24" spans="1:8" x14ac:dyDescent="0.2">
      <c r="A24" t="s">
        <v>147</v>
      </c>
      <c r="B24" s="180">
        <v>45013</v>
      </c>
      <c r="C24" s="181">
        <v>0.38958333333333334</v>
      </c>
      <c r="D24" s="179">
        <v>489</v>
      </c>
      <c r="E24" s="179">
        <v>489</v>
      </c>
      <c r="F24" s="179">
        <v>485</v>
      </c>
      <c r="G24" s="179">
        <v>487</v>
      </c>
      <c r="H24" s="85">
        <v>97900</v>
      </c>
    </row>
    <row r="25" spans="1:8" x14ac:dyDescent="0.2">
      <c r="A25" t="s">
        <v>147</v>
      </c>
      <c r="B25" s="180">
        <v>45013</v>
      </c>
      <c r="C25" s="181">
        <v>0.39027777777777778</v>
      </c>
      <c r="D25" s="179">
        <v>488</v>
      </c>
      <c r="E25" s="179">
        <v>489</v>
      </c>
      <c r="F25" s="179">
        <v>487</v>
      </c>
      <c r="G25" s="179">
        <v>488</v>
      </c>
      <c r="H25" s="85">
        <v>38800</v>
      </c>
    </row>
    <row r="26" spans="1:8" x14ac:dyDescent="0.2">
      <c r="A26" t="s">
        <v>147</v>
      </c>
      <c r="B26" s="180">
        <v>45013</v>
      </c>
      <c r="C26" s="181">
        <v>0.39097222222222222</v>
      </c>
      <c r="D26" s="179">
        <v>488</v>
      </c>
      <c r="E26" s="179">
        <v>489</v>
      </c>
      <c r="F26" s="179">
        <v>487</v>
      </c>
      <c r="G26" s="179">
        <v>489</v>
      </c>
      <c r="H26" s="85">
        <v>50600</v>
      </c>
    </row>
    <row r="27" spans="1:8" x14ac:dyDescent="0.2">
      <c r="A27" t="s">
        <v>147</v>
      </c>
      <c r="B27" s="180">
        <v>45013</v>
      </c>
      <c r="C27" s="181">
        <v>0.39166666666666666</v>
      </c>
      <c r="D27" s="179">
        <v>489</v>
      </c>
      <c r="E27" s="179">
        <v>492</v>
      </c>
      <c r="F27" s="179">
        <v>489</v>
      </c>
      <c r="G27" s="179">
        <v>491</v>
      </c>
      <c r="H27" s="85">
        <v>99700</v>
      </c>
    </row>
    <row r="28" spans="1:8" x14ac:dyDescent="0.2">
      <c r="A28" t="s">
        <v>147</v>
      </c>
      <c r="B28" s="180">
        <v>45013</v>
      </c>
      <c r="C28" s="181">
        <v>0.3923611111111111</v>
      </c>
      <c r="D28" s="179">
        <v>491</v>
      </c>
      <c r="E28" s="179">
        <v>493</v>
      </c>
      <c r="F28" s="179">
        <v>491</v>
      </c>
      <c r="G28" s="179">
        <v>493</v>
      </c>
      <c r="H28" s="85">
        <v>39600</v>
      </c>
    </row>
    <row r="29" spans="1:8" x14ac:dyDescent="0.2">
      <c r="A29" t="s">
        <v>147</v>
      </c>
      <c r="B29" s="180">
        <v>45013</v>
      </c>
      <c r="C29" s="181">
        <v>0.39305555555555555</v>
      </c>
      <c r="D29" s="179">
        <v>493</v>
      </c>
      <c r="E29" s="179">
        <v>498</v>
      </c>
      <c r="F29" s="179">
        <v>492</v>
      </c>
      <c r="G29" s="179">
        <v>497</v>
      </c>
      <c r="H29" s="85">
        <v>140200</v>
      </c>
    </row>
    <row r="30" spans="1:8" x14ac:dyDescent="0.2">
      <c r="A30" t="s">
        <v>147</v>
      </c>
      <c r="B30" s="180">
        <v>45013</v>
      </c>
      <c r="C30" s="181">
        <v>0.39374999999999999</v>
      </c>
      <c r="D30" s="179">
        <v>496</v>
      </c>
      <c r="E30" s="179">
        <v>500</v>
      </c>
      <c r="F30" s="179">
        <v>496</v>
      </c>
      <c r="G30" s="179">
        <v>499</v>
      </c>
      <c r="H30" s="85">
        <v>106200</v>
      </c>
    </row>
    <row r="31" spans="1:8" x14ac:dyDescent="0.2">
      <c r="A31" t="s">
        <v>147</v>
      </c>
      <c r="B31" s="180">
        <v>45013</v>
      </c>
      <c r="C31" s="181">
        <v>0.39444444444444443</v>
      </c>
      <c r="D31" s="179">
        <v>499</v>
      </c>
      <c r="E31" s="179">
        <v>499</v>
      </c>
      <c r="F31" s="179">
        <v>493</v>
      </c>
      <c r="G31" s="179">
        <v>495</v>
      </c>
      <c r="H31" s="85">
        <v>152600</v>
      </c>
    </row>
    <row r="32" spans="1:8" x14ac:dyDescent="0.2">
      <c r="A32" t="s">
        <v>147</v>
      </c>
      <c r="B32" s="180">
        <v>45013</v>
      </c>
      <c r="C32" s="181">
        <v>0.39513888888888887</v>
      </c>
      <c r="D32" s="179">
        <v>495</v>
      </c>
      <c r="E32" s="179">
        <v>497</v>
      </c>
      <c r="F32" s="179">
        <v>494</v>
      </c>
      <c r="G32" s="179">
        <v>495</v>
      </c>
      <c r="H32" s="85">
        <v>62000</v>
      </c>
    </row>
    <row r="33" spans="1:8" x14ac:dyDescent="0.2">
      <c r="A33" t="s">
        <v>147</v>
      </c>
      <c r="B33" s="180">
        <v>45013</v>
      </c>
      <c r="C33" s="181">
        <v>0.39583333333333331</v>
      </c>
      <c r="D33" s="179">
        <v>495</v>
      </c>
      <c r="E33" s="179">
        <v>498</v>
      </c>
      <c r="F33" s="179">
        <v>494</v>
      </c>
      <c r="G33" s="179">
        <v>497</v>
      </c>
      <c r="H33" s="85">
        <v>67400</v>
      </c>
    </row>
    <row r="34" spans="1:8" x14ac:dyDescent="0.2">
      <c r="A34" t="s">
        <v>147</v>
      </c>
      <c r="B34" s="180">
        <v>45013</v>
      </c>
      <c r="C34" s="181">
        <v>0.39652777777777781</v>
      </c>
      <c r="D34" s="179">
        <v>497</v>
      </c>
      <c r="E34" s="179">
        <v>500</v>
      </c>
      <c r="F34" s="179">
        <v>497</v>
      </c>
      <c r="G34" s="179">
        <v>499</v>
      </c>
      <c r="H34" s="85">
        <v>26000</v>
      </c>
    </row>
    <row r="35" spans="1:8" x14ac:dyDescent="0.2">
      <c r="A35" t="s">
        <v>147</v>
      </c>
      <c r="B35" s="180">
        <v>45013</v>
      </c>
      <c r="C35" s="181">
        <v>0.3972222222222222</v>
      </c>
      <c r="D35" s="179">
        <v>499</v>
      </c>
      <c r="E35" s="179">
        <v>500</v>
      </c>
      <c r="F35" s="179">
        <v>498</v>
      </c>
      <c r="G35" s="179">
        <v>498</v>
      </c>
      <c r="H35" s="85">
        <v>21900</v>
      </c>
    </row>
    <row r="36" spans="1:8" x14ac:dyDescent="0.2">
      <c r="A36" t="s">
        <v>147</v>
      </c>
      <c r="B36" s="180">
        <v>45013</v>
      </c>
      <c r="C36" s="181">
        <v>0.3979166666666667</v>
      </c>
      <c r="D36" s="179">
        <v>498</v>
      </c>
      <c r="E36" s="179">
        <v>499</v>
      </c>
      <c r="F36" s="179">
        <v>497</v>
      </c>
      <c r="G36" s="179">
        <v>498</v>
      </c>
      <c r="H36" s="85">
        <v>44700</v>
      </c>
    </row>
    <row r="37" spans="1:8" x14ac:dyDescent="0.2">
      <c r="A37" t="s">
        <v>147</v>
      </c>
      <c r="B37" s="180">
        <v>45013</v>
      </c>
      <c r="C37" s="181">
        <v>0.39861111111111108</v>
      </c>
      <c r="D37" s="179">
        <v>497</v>
      </c>
      <c r="E37" s="179">
        <v>497</v>
      </c>
      <c r="F37" s="179">
        <v>493</v>
      </c>
      <c r="G37" s="179">
        <v>496</v>
      </c>
      <c r="H37" s="85">
        <v>125500</v>
      </c>
    </row>
    <row r="38" spans="1:8" x14ac:dyDescent="0.2">
      <c r="A38" t="s">
        <v>147</v>
      </c>
      <c r="B38" s="180">
        <v>45013</v>
      </c>
      <c r="C38" s="181">
        <v>0.39930555555555558</v>
      </c>
      <c r="D38" s="179">
        <v>497</v>
      </c>
      <c r="E38" s="179">
        <v>497</v>
      </c>
      <c r="F38" s="179">
        <v>495</v>
      </c>
      <c r="G38" s="179">
        <v>496</v>
      </c>
      <c r="H38" s="85">
        <v>7400</v>
      </c>
    </row>
    <row r="39" spans="1:8" x14ac:dyDescent="0.2">
      <c r="A39" t="s">
        <v>147</v>
      </c>
      <c r="B39" s="180">
        <v>45013</v>
      </c>
      <c r="C39" s="181">
        <v>0.39999999999999997</v>
      </c>
      <c r="D39" s="179">
        <v>496</v>
      </c>
      <c r="E39" s="179">
        <v>496</v>
      </c>
      <c r="F39" s="179">
        <v>494</v>
      </c>
      <c r="G39" s="179">
        <v>496</v>
      </c>
      <c r="H39" s="85">
        <v>26900</v>
      </c>
    </row>
    <row r="40" spans="1:8" x14ac:dyDescent="0.2">
      <c r="A40" t="s">
        <v>147</v>
      </c>
      <c r="B40" s="180">
        <v>45013</v>
      </c>
      <c r="C40" s="181">
        <v>0.40069444444444446</v>
      </c>
      <c r="D40" s="179">
        <v>496</v>
      </c>
      <c r="E40" s="179">
        <v>497</v>
      </c>
      <c r="F40" s="179">
        <v>494</v>
      </c>
      <c r="G40" s="179">
        <v>495</v>
      </c>
      <c r="H40" s="85">
        <v>31600</v>
      </c>
    </row>
    <row r="41" spans="1:8" x14ac:dyDescent="0.2">
      <c r="A41" t="s">
        <v>147</v>
      </c>
      <c r="B41" s="180">
        <v>45013</v>
      </c>
      <c r="C41" s="181">
        <v>0.40138888888888885</v>
      </c>
      <c r="D41" s="179">
        <v>494</v>
      </c>
      <c r="E41" s="179">
        <v>495</v>
      </c>
      <c r="F41" s="179">
        <v>494</v>
      </c>
      <c r="G41" s="179">
        <v>495</v>
      </c>
      <c r="H41" s="85">
        <v>14500</v>
      </c>
    </row>
    <row r="42" spans="1:8" x14ac:dyDescent="0.2">
      <c r="A42" t="s">
        <v>147</v>
      </c>
      <c r="B42" s="180">
        <v>45013</v>
      </c>
      <c r="C42" s="181">
        <v>0.40208333333333335</v>
      </c>
      <c r="D42" s="179">
        <v>494</v>
      </c>
      <c r="E42" s="179">
        <v>495</v>
      </c>
      <c r="F42" s="179">
        <v>493</v>
      </c>
      <c r="G42" s="179">
        <v>495</v>
      </c>
      <c r="H42" s="85">
        <v>22700</v>
      </c>
    </row>
    <row r="43" spans="1:8" x14ac:dyDescent="0.2">
      <c r="A43" t="s">
        <v>147</v>
      </c>
      <c r="B43" s="180">
        <v>45013</v>
      </c>
      <c r="C43" s="181">
        <v>0.40277777777777773</v>
      </c>
      <c r="D43" s="179">
        <v>494</v>
      </c>
      <c r="E43" s="179">
        <v>495</v>
      </c>
      <c r="F43" s="179">
        <v>491</v>
      </c>
      <c r="G43" s="179">
        <v>492</v>
      </c>
      <c r="H43" s="85">
        <v>90100</v>
      </c>
    </row>
    <row r="44" spans="1:8" x14ac:dyDescent="0.2">
      <c r="A44" t="s">
        <v>147</v>
      </c>
      <c r="B44" s="180">
        <v>45013</v>
      </c>
      <c r="C44" s="181">
        <v>0.40347222222222223</v>
      </c>
      <c r="D44" s="179">
        <v>491</v>
      </c>
      <c r="E44" s="179">
        <v>493</v>
      </c>
      <c r="F44" s="179">
        <v>490</v>
      </c>
      <c r="G44" s="179">
        <v>492</v>
      </c>
      <c r="H44" s="85">
        <v>27200</v>
      </c>
    </row>
    <row r="45" spans="1:8" x14ac:dyDescent="0.2">
      <c r="A45" t="s">
        <v>147</v>
      </c>
      <c r="B45" s="180">
        <v>45013</v>
      </c>
      <c r="C45" s="181">
        <v>0.40416666666666662</v>
      </c>
      <c r="D45" s="179">
        <v>492</v>
      </c>
      <c r="E45" s="179">
        <v>493</v>
      </c>
      <c r="F45" s="179">
        <v>492</v>
      </c>
      <c r="G45" s="179">
        <v>492</v>
      </c>
      <c r="H45" s="85">
        <v>13900</v>
      </c>
    </row>
    <row r="46" spans="1:8" x14ac:dyDescent="0.2">
      <c r="A46" t="s">
        <v>147</v>
      </c>
      <c r="B46" s="180">
        <v>45013</v>
      </c>
      <c r="C46" s="181">
        <v>0.40486111111111112</v>
      </c>
      <c r="D46" s="179">
        <v>491</v>
      </c>
      <c r="E46" s="179">
        <v>493</v>
      </c>
      <c r="F46" s="179">
        <v>491</v>
      </c>
      <c r="G46" s="179">
        <v>493</v>
      </c>
      <c r="H46" s="85">
        <v>12800</v>
      </c>
    </row>
    <row r="47" spans="1:8" x14ac:dyDescent="0.2">
      <c r="A47" t="s">
        <v>147</v>
      </c>
      <c r="B47" s="180">
        <v>45013</v>
      </c>
      <c r="C47" s="181">
        <v>0.4055555555555555</v>
      </c>
      <c r="D47" s="179">
        <v>493</v>
      </c>
      <c r="E47" s="179">
        <v>493</v>
      </c>
      <c r="F47" s="179">
        <v>492</v>
      </c>
      <c r="G47" s="179">
        <v>493</v>
      </c>
      <c r="H47" s="85">
        <v>10800</v>
      </c>
    </row>
    <row r="48" spans="1:8" x14ac:dyDescent="0.2">
      <c r="A48" t="s">
        <v>147</v>
      </c>
      <c r="B48" s="180">
        <v>45013</v>
      </c>
      <c r="C48" s="181">
        <v>0.40625</v>
      </c>
      <c r="D48" s="179">
        <v>491</v>
      </c>
      <c r="E48" s="179">
        <v>493</v>
      </c>
      <c r="F48" s="179">
        <v>491</v>
      </c>
      <c r="G48" s="179">
        <v>493</v>
      </c>
      <c r="H48" s="85">
        <v>57500</v>
      </c>
    </row>
    <row r="49" spans="1:8" x14ac:dyDescent="0.2">
      <c r="A49" t="s">
        <v>147</v>
      </c>
      <c r="B49" s="180">
        <v>45013</v>
      </c>
      <c r="C49" s="181">
        <v>0.4069444444444445</v>
      </c>
      <c r="D49" s="179">
        <v>493</v>
      </c>
      <c r="E49" s="179">
        <v>494</v>
      </c>
      <c r="F49" s="179">
        <v>491</v>
      </c>
      <c r="G49" s="179">
        <v>492</v>
      </c>
      <c r="H49" s="85">
        <v>19100</v>
      </c>
    </row>
    <row r="50" spans="1:8" x14ac:dyDescent="0.2">
      <c r="A50" t="s">
        <v>147</v>
      </c>
      <c r="B50" s="180">
        <v>45013</v>
      </c>
      <c r="C50" s="181">
        <v>0.40763888888888888</v>
      </c>
      <c r="D50" s="179">
        <v>491</v>
      </c>
      <c r="E50" s="179">
        <v>492</v>
      </c>
      <c r="F50" s="179">
        <v>491</v>
      </c>
      <c r="G50" s="179">
        <v>491</v>
      </c>
      <c r="H50" s="85">
        <v>10800</v>
      </c>
    </row>
    <row r="51" spans="1:8" x14ac:dyDescent="0.2">
      <c r="A51" t="s">
        <v>147</v>
      </c>
      <c r="B51" s="180">
        <v>45013</v>
      </c>
      <c r="C51" s="181">
        <v>0.40833333333333338</v>
      </c>
      <c r="D51" s="179">
        <v>491</v>
      </c>
      <c r="E51" s="179">
        <v>491</v>
      </c>
      <c r="F51" s="179">
        <v>490</v>
      </c>
      <c r="G51" s="179">
        <v>491</v>
      </c>
      <c r="H51" s="85">
        <v>7700</v>
      </c>
    </row>
    <row r="52" spans="1:8" x14ac:dyDescent="0.2">
      <c r="A52" t="s">
        <v>147</v>
      </c>
      <c r="B52" s="180">
        <v>45013</v>
      </c>
      <c r="C52" s="181">
        <v>0.40902777777777777</v>
      </c>
      <c r="D52" s="179">
        <v>490</v>
      </c>
      <c r="E52" s="179">
        <v>492</v>
      </c>
      <c r="F52" s="179">
        <v>490</v>
      </c>
      <c r="G52" s="179">
        <v>491</v>
      </c>
      <c r="H52" s="85">
        <v>20100</v>
      </c>
    </row>
    <row r="53" spans="1:8" x14ac:dyDescent="0.2">
      <c r="A53" t="s">
        <v>147</v>
      </c>
      <c r="B53" s="180">
        <v>45013</v>
      </c>
      <c r="C53" s="181">
        <v>0.40972222222222227</v>
      </c>
      <c r="D53" s="179">
        <v>491</v>
      </c>
      <c r="E53" s="179">
        <v>492</v>
      </c>
      <c r="F53" s="179">
        <v>491</v>
      </c>
      <c r="G53" s="179">
        <v>491</v>
      </c>
      <c r="H53" s="85">
        <v>11300</v>
      </c>
    </row>
    <row r="54" spans="1:8" x14ac:dyDescent="0.2">
      <c r="A54" t="s">
        <v>147</v>
      </c>
      <c r="B54" s="180">
        <v>45013</v>
      </c>
      <c r="C54" s="181">
        <v>0.41041666666666665</v>
      </c>
      <c r="D54" s="179">
        <v>491</v>
      </c>
      <c r="E54" s="179">
        <v>493</v>
      </c>
      <c r="F54" s="179">
        <v>491</v>
      </c>
      <c r="G54" s="179">
        <v>492</v>
      </c>
      <c r="H54" s="85">
        <v>44300</v>
      </c>
    </row>
    <row r="55" spans="1:8" x14ac:dyDescent="0.2">
      <c r="A55" t="s">
        <v>147</v>
      </c>
      <c r="B55" s="180">
        <v>45013</v>
      </c>
      <c r="C55" s="181">
        <v>0.41111111111111115</v>
      </c>
      <c r="D55" s="179">
        <v>492</v>
      </c>
      <c r="E55" s="179">
        <v>492</v>
      </c>
      <c r="F55" s="179">
        <v>491</v>
      </c>
      <c r="G55" s="179">
        <v>492</v>
      </c>
      <c r="H55" s="85">
        <v>12000</v>
      </c>
    </row>
    <row r="56" spans="1:8" x14ac:dyDescent="0.2">
      <c r="A56" t="s">
        <v>147</v>
      </c>
      <c r="B56" s="180">
        <v>45013</v>
      </c>
      <c r="C56" s="181">
        <v>0.41180555555555554</v>
      </c>
      <c r="D56" s="179">
        <v>492</v>
      </c>
      <c r="E56" s="179">
        <v>493</v>
      </c>
      <c r="F56" s="179">
        <v>491</v>
      </c>
      <c r="G56" s="179">
        <v>493</v>
      </c>
      <c r="H56" s="85">
        <v>19100</v>
      </c>
    </row>
    <row r="57" spans="1:8" x14ac:dyDescent="0.2">
      <c r="A57" t="s">
        <v>147</v>
      </c>
      <c r="B57" s="180">
        <v>45013</v>
      </c>
      <c r="C57" s="181">
        <v>0.41250000000000003</v>
      </c>
      <c r="D57" s="179">
        <v>493</v>
      </c>
      <c r="E57" s="179">
        <v>494</v>
      </c>
      <c r="F57" s="179">
        <v>491</v>
      </c>
      <c r="G57" s="179">
        <v>492</v>
      </c>
      <c r="H57" s="85">
        <v>47100</v>
      </c>
    </row>
    <row r="58" spans="1:8" x14ac:dyDescent="0.2">
      <c r="A58" t="s">
        <v>147</v>
      </c>
      <c r="B58" s="180">
        <v>45013</v>
      </c>
      <c r="C58" s="181">
        <v>0.41319444444444442</v>
      </c>
      <c r="D58" s="179">
        <v>492</v>
      </c>
      <c r="E58" s="179">
        <v>495</v>
      </c>
      <c r="F58" s="179">
        <v>492</v>
      </c>
      <c r="G58" s="179">
        <v>494</v>
      </c>
      <c r="H58" s="85">
        <v>60500</v>
      </c>
    </row>
    <row r="59" spans="1:8" x14ac:dyDescent="0.2">
      <c r="A59" t="s">
        <v>147</v>
      </c>
      <c r="B59" s="180">
        <v>45013</v>
      </c>
      <c r="C59" s="181">
        <v>0.41388888888888892</v>
      </c>
      <c r="D59" s="179">
        <v>494</v>
      </c>
      <c r="E59" s="179">
        <v>495</v>
      </c>
      <c r="F59" s="179">
        <v>493</v>
      </c>
      <c r="G59" s="179">
        <v>494</v>
      </c>
      <c r="H59" s="85">
        <v>28600</v>
      </c>
    </row>
    <row r="60" spans="1:8" x14ac:dyDescent="0.2">
      <c r="A60" t="s">
        <v>147</v>
      </c>
      <c r="B60" s="180">
        <v>45013</v>
      </c>
      <c r="C60" s="181">
        <v>0.4145833333333333</v>
      </c>
      <c r="D60" s="179">
        <v>494</v>
      </c>
      <c r="E60" s="179">
        <v>494</v>
      </c>
      <c r="F60" s="179">
        <v>494</v>
      </c>
      <c r="G60" s="179">
        <v>494</v>
      </c>
      <c r="H60" s="85">
        <v>2500</v>
      </c>
    </row>
    <row r="61" spans="1:8" x14ac:dyDescent="0.2">
      <c r="A61" t="s">
        <v>147</v>
      </c>
      <c r="B61" s="180">
        <v>45013</v>
      </c>
      <c r="C61" s="181">
        <v>0.4152777777777778</v>
      </c>
      <c r="D61" s="179">
        <v>494</v>
      </c>
      <c r="E61" s="179">
        <v>494</v>
      </c>
      <c r="F61" s="179">
        <v>493</v>
      </c>
      <c r="G61" s="179">
        <v>493</v>
      </c>
      <c r="H61" s="85">
        <v>1900</v>
      </c>
    </row>
    <row r="62" spans="1:8" x14ac:dyDescent="0.2">
      <c r="A62" t="s">
        <v>147</v>
      </c>
      <c r="B62" s="180">
        <v>45013</v>
      </c>
      <c r="C62" s="181">
        <v>0.41597222222222219</v>
      </c>
      <c r="D62" s="179">
        <v>493</v>
      </c>
      <c r="E62" s="179">
        <v>494</v>
      </c>
      <c r="F62" s="179">
        <v>493</v>
      </c>
      <c r="G62" s="179">
        <v>494</v>
      </c>
      <c r="H62" s="85">
        <v>16900</v>
      </c>
    </row>
    <row r="63" spans="1:8" x14ac:dyDescent="0.2">
      <c r="A63" t="s">
        <v>147</v>
      </c>
      <c r="B63" s="180">
        <v>45013</v>
      </c>
      <c r="C63" s="181">
        <v>0.41666666666666669</v>
      </c>
      <c r="D63" s="179">
        <v>494</v>
      </c>
      <c r="E63" s="179">
        <v>494</v>
      </c>
      <c r="F63" s="179">
        <v>493</v>
      </c>
      <c r="G63" s="179">
        <v>493</v>
      </c>
      <c r="H63" s="85">
        <v>3700</v>
      </c>
    </row>
    <row r="64" spans="1:8" x14ac:dyDescent="0.2">
      <c r="A64" t="s">
        <v>147</v>
      </c>
      <c r="B64" s="180">
        <v>45013</v>
      </c>
      <c r="C64" s="181">
        <v>0.41736111111111113</v>
      </c>
      <c r="D64" s="179">
        <v>493</v>
      </c>
      <c r="E64" s="179">
        <v>493</v>
      </c>
      <c r="F64" s="179">
        <v>492</v>
      </c>
      <c r="G64" s="179">
        <v>493</v>
      </c>
      <c r="H64" s="85">
        <v>8300</v>
      </c>
    </row>
    <row r="65" spans="1:8" x14ac:dyDescent="0.2">
      <c r="A65" t="s">
        <v>147</v>
      </c>
      <c r="B65" s="180">
        <v>45013</v>
      </c>
      <c r="C65" s="181">
        <v>0.41805555555555557</v>
      </c>
      <c r="D65" s="179">
        <v>492</v>
      </c>
      <c r="E65" s="179">
        <v>492</v>
      </c>
      <c r="F65" s="179">
        <v>491</v>
      </c>
      <c r="G65" s="179">
        <v>492</v>
      </c>
      <c r="H65" s="85">
        <v>19500</v>
      </c>
    </row>
    <row r="66" spans="1:8" x14ac:dyDescent="0.2">
      <c r="A66" t="s">
        <v>147</v>
      </c>
      <c r="B66" s="180">
        <v>45013</v>
      </c>
      <c r="C66" s="181">
        <v>0.41875000000000001</v>
      </c>
      <c r="D66" s="179">
        <v>492</v>
      </c>
      <c r="E66" s="179">
        <v>493</v>
      </c>
      <c r="F66" s="179">
        <v>492</v>
      </c>
      <c r="G66" s="179">
        <v>492</v>
      </c>
      <c r="H66" s="85">
        <v>3200</v>
      </c>
    </row>
    <row r="67" spans="1:8" x14ac:dyDescent="0.2">
      <c r="A67" t="s">
        <v>147</v>
      </c>
      <c r="B67" s="180">
        <v>45013</v>
      </c>
      <c r="C67" s="181">
        <v>0.41944444444444445</v>
      </c>
      <c r="D67" s="179">
        <v>492</v>
      </c>
      <c r="E67" s="179">
        <v>493</v>
      </c>
      <c r="F67" s="179">
        <v>492</v>
      </c>
      <c r="G67" s="179">
        <v>492</v>
      </c>
      <c r="H67" s="85">
        <v>2500</v>
      </c>
    </row>
    <row r="68" spans="1:8" x14ac:dyDescent="0.2">
      <c r="A68" t="s">
        <v>147</v>
      </c>
      <c r="B68" s="180">
        <v>45013</v>
      </c>
      <c r="C68" s="181">
        <v>0.4201388888888889</v>
      </c>
      <c r="D68" s="179">
        <v>492</v>
      </c>
      <c r="E68" s="179">
        <v>492</v>
      </c>
      <c r="F68" s="179">
        <v>492</v>
      </c>
      <c r="G68" s="179">
        <v>492</v>
      </c>
      <c r="H68" s="85">
        <v>10200</v>
      </c>
    </row>
    <row r="69" spans="1:8" x14ac:dyDescent="0.2">
      <c r="A69" t="s">
        <v>147</v>
      </c>
      <c r="B69" s="180">
        <v>45013</v>
      </c>
      <c r="C69" s="181">
        <v>0.42083333333333334</v>
      </c>
      <c r="D69" s="179">
        <v>493</v>
      </c>
      <c r="E69" s="179">
        <v>493</v>
      </c>
      <c r="F69" s="179">
        <v>492</v>
      </c>
      <c r="G69" s="179">
        <v>492</v>
      </c>
      <c r="H69" s="85">
        <v>2800</v>
      </c>
    </row>
    <row r="70" spans="1:8" x14ac:dyDescent="0.2">
      <c r="A70" t="s">
        <v>147</v>
      </c>
      <c r="B70" s="180">
        <v>45013</v>
      </c>
      <c r="C70" s="181">
        <v>0.42152777777777778</v>
      </c>
      <c r="D70" s="179">
        <v>493</v>
      </c>
      <c r="E70" s="179">
        <v>494</v>
      </c>
      <c r="F70" s="179">
        <v>492</v>
      </c>
      <c r="G70" s="179">
        <v>493</v>
      </c>
      <c r="H70" s="85">
        <v>88800</v>
      </c>
    </row>
    <row r="71" spans="1:8" x14ac:dyDescent="0.2">
      <c r="A71" t="s">
        <v>147</v>
      </c>
      <c r="B71" s="180">
        <v>45013</v>
      </c>
      <c r="C71" s="181">
        <v>0.42222222222222222</v>
      </c>
      <c r="D71" s="179">
        <v>494</v>
      </c>
      <c r="E71" s="179">
        <v>494</v>
      </c>
      <c r="F71" s="179">
        <v>493</v>
      </c>
      <c r="G71" s="179">
        <v>493</v>
      </c>
      <c r="H71" s="85">
        <v>31800</v>
      </c>
    </row>
    <row r="72" spans="1:8" x14ac:dyDescent="0.2">
      <c r="A72" t="s">
        <v>147</v>
      </c>
      <c r="B72" s="180">
        <v>45013</v>
      </c>
      <c r="C72" s="181">
        <v>0.42291666666666666</v>
      </c>
      <c r="D72" s="179">
        <v>494</v>
      </c>
      <c r="E72" s="179">
        <v>494</v>
      </c>
      <c r="F72" s="179">
        <v>493</v>
      </c>
      <c r="G72" s="179">
        <v>494</v>
      </c>
      <c r="H72" s="85">
        <v>10200</v>
      </c>
    </row>
    <row r="73" spans="1:8" x14ac:dyDescent="0.2">
      <c r="A73" t="s">
        <v>147</v>
      </c>
      <c r="B73" s="180">
        <v>45013</v>
      </c>
      <c r="C73" s="181">
        <v>0.4236111111111111</v>
      </c>
      <c r="D73" s="179">
        <v>493</v>
      </c>
      <c r="E73" s="179">
        <v>494</v>
      </c>
      <c r="F73" s="179">
        <v>493</v>
      </c>
      <c r="G73" s="179">
        <v>494</v>
      </c>
      <c r="H73" s="85">
        <v>11500</v>
      </c>
    </row>
    <row r="74" spans="1:8" x14ac:dyDescent="0.2">
      <c r="A74" t="s">
        <v>147</v>
      </c>
      <c r="B74" s="180">
        <v>45013</v>
      </c>
      <c r="C74" s="181">
        <v>0.42430555555555555</v>
      </c>
      <c r="D74" s="179">
        <v>494</v>
      </c>
      <c r="E74" s="179">
        <v>494</v>
      </c>
      <c r="F74" s="179">
        <v>494</v>
      </c>
      <c r="G74" s="179">
        <v>494</v>
      </c>
      <c r="H74" s="85">
        <v>3700</v>
      </c>
    </row>
    <row r="75" spans="1:8" x14ac:dyDescent="0.2">
      <c r="A75" t="s">
        <v>147</v>
      </c>
      <c r="B75" s="180">
        <v>45013</v>
      </c>
      <c r="C75" s="181">
        <v>0.42499999999999999</v>
      </c>
      <c r="D75" s="179">
        <v>493</v>
      </c>
      <c r="E75" s="179">
        <v>493</v>
      </c>
      <c r="F75" s="179">
        <v>489</v>
      </c>
      <c r="G75" s="179">
        <v>491</v>
      </c>
      <c r="H75" s="85">
        <v>102000</v>
      </c>
    </row>
    <row r="76" spans="1:8" x14ac:dyDescent="0.2">
      <c r="A76" t="s">
        <v>147</v>
      </c>
      <c r="B76" s="180">
        <v>45013</v>
      </c>
      <c r="C76" s="181">
        <v>0.42569444444444443</v>
      </c>
      <c r="D76" s="179">
        <v>491</v>
      </c>
      <c r="E76" s="179">
        <v>492</v>
      </c>
      <c r="F76" s="179">
        <v>490</v>
      </c>
      <c r="G76" s="179">
        <v>491</v>
      </c>
      <c r="H76" s="85">
        <v>13600</v>
      </c>
    </row>
    <row r="77" spans="1:8" x14ac:dyDescent="0.2">
      <c r="A77" t="s">
        <v>147</v>
      </c>
      <c r="B77" s="180">
        <v>45013</v>
      </c>
      <c r="C77" s="181">
        <v>0.42638888888888887</v>
      </c>
      <c r="D77" s="179">
        <v>491</v>
      </c>
      <c r="E77" s="179">
        <v>491</v>
      </c>
      <c r="F77" s="179">
        <v>490</v>
      </c>
      <c r="G77" s="179">
        <v>490</v>
      </c>
      <c r="H77" s="85">
        <v>6700</v>
      </c>
    </row>
    <row r="78" spans="1:8" x14ac:dyDescent="0.2">
      <c r="A78" t="s">
        <v>147</v>
      </c>
      <c r="B78" s="180">
        <v>45013</v>
      </c>
      <c r="C78" s="181">
        <v>0.42708333333333331</v>
      </c>
      <c r="D78" s="179">
        <v>490</v>
      </c>
      <c r="E78" s="179">
        <v>491</v>
      </c>
      <c r="F78" s="179">
        <v>490</v>
      </c>
      <c r="G78" s="179">
        <v>490</v>
      </c>
      <c r="H78" s="85">
        <v>25300</v>
      </c>
    </row>
    <row r="79" spans="1:8" x14ac:dyDescent="0.2">
      <c r="A79" t="s">
        <v>147</v>
      </c>
      <c r="B79" s="180">
        <v>45013</v>
      </c>
      <c r="C79" s="181">
        <v>0.42777777777777781</v>
      </c>
      <c r="D79" s="179">
        <v>490</v>
      </c>
      <c r="E79" s="179">
        <v>491</v>
      </c>
      <c r="F79" s="179">
        <v>489</v>
      </c>
      <c r="G79" s="179">
        <v>491</v>
      </c>
      <c r="H79" s="85">
        <v>9200</v>
      </c>
    </row>
    <row r="80" spans="1:8" x14ac:dyDescent="0.2">
      <c r="A80" t="s">
        <v>147</v>
      </c>
      <c r="B80" s="180">
        <v>45013</v>
      </c>
      <c r="C80" s="181">
        <v>0.4284722222222222</v>
      </c>
      <c r="D80" s="179">
        <v>491</v>
      </c>
      <c r="E80" s="179">
        <v>493</v>
      </c>
      <c r="F80" s="179">
        <v>491</v>
      </c>
      <c r="G80" s="179">
        <v>492</v>
      </c>
      <c r="H80" s="85">
        <v>31800</v>
      </c>
    </row>
    <row r="81" spans="1:8" x14ac:dyDescent="0.2">
      <c r="A81" t="s">
        <v>147</v>
      </c>
      <c r="B81" s="180">
        <v>45013</v>
      </c>
      <c r="C81" s="181">
        <v>0.4291666666666667</v>
      </c>
      <c r="D81" s="179">
        <v>492</v>
      </c>
      <c r="E81" s="179">
        <v>493</v>
      </c>
      <c r="F81" s="179">
        <v>491</v>
      </c>
      <c r="G81" s="179">
        <v>492</v>
      </c>
      <c r="H81" s="85">
        <v>5900</v>
      </c>
    </row>
    <row r="82" spans="1:8" x14ac:dyDescent="0.2">
      <c r="A82" t="s">
        <v>147</v>
      </c>
      <c r="B82" s="180">
        <v>45013</v>
      </c>
      <c r="C82" s="181">
        <v>0.42986111111111108</v>
      </c>
      <c r="D82" s="179">
        <v>493</v>
      </c>
      <c r="E82" s="179">
        <v>493</v>
      </c>
      <c r="F82" s="179">
        <v>492</v>
      </c>
      <c r="G82" s="179">
        <v>492</v>
      </c>
      <c r="H82" s="85">
        <v>6100</v>
      </c>
    </row>
    <row r="83" spans="1:8" x14ac:dyDescent="0.2">
      <c r="A83" t="s">
        <v>147</v>
      </c>
      <c r="B83" s="180">
        <v>45013</v>
      </c>
      <c r="C83" s="181">
        <v>0.43055555555555558</v>
      </c>
      <c r="D83" s="179">
        <v>491</v>
      </c>
      <c r="E83" s="179">
        <v>492</v>
      </c>
      <c r="F83" s="179">
        <v>491</v>
      </c>
      <c r="G83" s="179">
        <v>492</v>
      </c>
      <c r="H83" s="85">
        <v>12000</v>
      </c>
    </row>
    <row r="84" spans="1:8" x14ac:dyDescent="0.2">
      <c r="A84" t="s">
        <v>147</v>
      </c>
      <c r="B84" s="180">
        <v>45013</v>
      </c>
      <c r="C84" s="181">
        <v>0.43124999999999997</v>
      </c>
      <c r="D84" s="179">
        <v>492</v>
      </c>
      <c r="E84" s="179">
        <v>492</v>
      </c>
      <c r="F84" s="179">
        <v>491</v>
      </c>
      <c r="G84" s="179">
        <v>491</v>
      </c>
      <c r="H84" s="85">
        <v>1700</v>
      </c>
    </row>
    <row r="85" spans="1:8" x14ac:dyDescent="0.2">
      <c r="A85" t="s">
        <v>147</v>
      </c>
      <c r="B85" s="180">
        <v>45013</v>
      </c>
      <c r="C85" s="181">
        <v>0.43194444444444446</v>
      </c>
      <c r="D85" s="179">
        <v>492</v>
      </c>
      <c r="E85" s="179">
        <v>492</v>
      </c>
      <c r="F85" s="179">
        <v>492</v>
      </c>
      <c r="G85" s="179">
        <v>492</v>
      </c>
      <c r="H85" s="85">
        <v>2400</v>
      </c>
    </row>
    <row r="86" spans="1:8" x14ac:dyDescent="0.2">
      <c r="A86" t="s">
        <v>147</v>
      </c>
      <c r="B86" s="180">
        <v>45013</v>
      </c>
      <c r="C86" s="181">
        <v>0.43263888888888885</v>
      </c>
      <c r="D86" s="179">
        <v>491</v>
      </c>
      <c r="E86" s="179">
        <v>491</v>
      </c>
      <c r="F86" s="179">
        <v>491</v>
      </c>
      <c r="G86" s="179">
        <v>491</v>
      </c>
      <c r="H86" s="85">
        <v>10800</v>
      </c>
    </row>
    <row r="87" spans="1:8" x14ac:dyDescent="0.2">
      <c r="A87" t="s">
        <v>147</v>
      </c>
      <c r="B87" s="180">
        <v>45013</v>
      </c>
      <c r="C87" s="181">
        <v>0.43333333333333335</v>
      </c>
      <c r="D87" s="179">
        <v>491</v>
      </c>
      <c r="E87" s="179">
        <v>491</v>
      </c>
      <c r="F87" s="179">
        <v>490</v>
      </c>
      <c r="G87" s="179">
        <v>491</v>
      </c>
      <c r="H87" s="85">
        <v>12200</v>
      </c>
    </row>
    <row r="88" spans="1:8" x14ac:dyDescent="0.2">
      <c r="A88" t="s">
        <v>147</v>
      </c>
      <c r="B88" s="180">
        <v>45013</v>
      </c>
      <c r="C88" s="181">
        <v>0.43402777777777773</v>
      </c>
      <c r="D88" s="179">
        <v>491</v>
      </c>
      <c r="E88" s="179">
        <v>492</v>
      </c>
      <c r="F88" s="179">
        <v>491</v>
      </c>
      <c r="G88" s="179">
        <v>492</v>
      </c>
      <c r="H88" s="85">
        <v>5100</v>
      </c>
    </row>
    <row r="89" spans="1:8" x14ac:dyDescent="0.2">
      <c r="A89" t="s">
        <v>147</v>
      </c>
      <c r="B89" s="180">
        <v>45013</v>
      </c>
      <c r="C89" s="181">
        <v>0.43472222222222223</v>
      </c>
      <c r="D89" s="179">
        <v>491</v>
      </c>
      <c r="E89" s="179">
        <v>491</v>
      </c>
      <c r="F89" s="179">
        <v>491</v>
      </c>
      <c r="G89" s="179">
        <v>491</v>
      </c>
      <c r="H89" s="85">
        <v>6900</v>
      </c>
    </row>
    <row r="90" spans="1:8" x14ac:dyDescent="0.2">
      <c r="A90" t="s">
        <v>147</v>
      </c>
      <c r="B90" s="180">
        <v>45013</v>
      </c>
      <c r="C90" s="181">
        <v>0.43541666666666662</v>
      </c>
      <c r="D90" s="179">
        <v>491</v>
      </c>
      <c r="E90" s="179">
        <v>491</v>
      </c>
      <c r="F90" s="179">
        <v>491</v>
      </c>
      <c r="G90" s="179">
        <v>491</v>
      </c>
      <c r="H90" s="85">
        <v>3400</v>
      </c>
    </row>
    <row r="91" spans="1:8" x14ac:dyDescent="0.2">
      <c r="A91" t="s">
        <v>147</v>
      </c>
      <c r="B91" s="180">
        <v>45013</v>
      </c>
      <c r="C91" s="181">
        <v>0.43611111111111112</v>
      </c>
      <c r="D91" s="179">
        <v>491</v>
      </c>
      <c r="E91" s="179">
        <v>492</v>
      </c>
      <c r="F91" s="179">
        <v>491</v>
      </c>
      <c r="G91" s="179">
        <v>492</v>
      </c>
      <c r="H91" s="85">
        <v>18900</v>
      </c>
    </row>
    <row r="92" spans="1:8" x14ac:dyDescent="0.2">
      <c r="A92" t="s">
        <v>147</v>
      </c>
      <c r="B92" s="180">
        <v>45013</v>
      </c>
      <c r="C92" s="181">
        <v>0.4368055555555555</v>
      </c>
      <c r="D92" s="179">
        <v>492</v>
      </c>
      <c r="E92" s="179">
        <v>493</v>
      </c>
      <c r="F92" s="179">
        <v>492</v>
      </c>
      <c r="G92" s="179">
        <v>493</v>
      </c>
      <c r="H92" s="85">
        <v>1200</v>
      </c>
    </row>
    <row r="93" spans="1:8" x14ac:dyDescent="0.2">
      <c r="A93" t="s">
        <v>147</v>
      </c>
      <c r="B93" s="180">
        <v>45013</v>
      </c>
      <c r="C93" s="181">
        <v>0.4375</v>
      </c>
      <c r="D93" s="179">
        <v>493</v>
      </c>
      <c r="E93" s="179">
        <v>493</v>
      </c>
      <c r="F93" s="179">
        <v>492</v>
      </c>
      <c r="G93" s="179">
        <v>493</v>
      </c>
      <c r="H93" s="85">
        <v>16100</v>
      </c>
    </row>
    <row r="94" spans="1:8" x14ac:dyDescent="0.2">
      <c r="A94" t="s">
        <v>147</v>
      </c>
      <c r="B94" s="180">
        <v>45013</v>
      </c>
      <c r="C94" s="181">
        <v>0.4381944444444445</v>
      </c>
      <c r="D94" s="179">
        <v>492</v>
      </c>
      <c r="E94" s="179">
        <v>494</v>
      </c>
      <c r="F94" s="179">
        <v>492</v>
      </c>
      <c r="G94" s="179">
        <v>494</v>
      </c>
      <c r="H94" s="85">
        <v>10700</v>
      </c>
    </row>
    <row r="95" spans="1:8" x14ac:dyDescent="0.2">
      <c r="A95" t="s">
        <v>147</v>
      </c>
      <c r="B95" s="180">
        <v>45013</v>
      </c>
      <c r="C95" s="181">
        <v>0.43888888888888888</v>
      </c>
      <c r="D95" s="179">
        <v>494</v>
      </c>
      <c r="E95" s="179">
        <v>494</v>
      </c>
      <c r="F95" s="179">
        <v>493</v>
      </c>
      <c r="G95" s="179">
        <v>494</v>
      </c>
      <c r="H95" s="85">
        <v>21900</v>
      </c>
    </row>
    <row r="96" spans="1:8" x14ac:dyDescent="0.2">
      <c r="A96" t="s">
        <v>147</v>
      </c>
      <c r="B96" s="180">
        <v>45013</v>
      </c>
      <c r="C96" s="181">
        <v>0.43958333333333338</v>
      </c>
      <c r="D96" s="179">
        <v>494</v>
      </c>
      <c r="E96" s="179">
        <v>494</v>
      </c>
      <c r="F96" s="179">
        <v>494</v>
      </c>
      <c r="G96" s="179">
        <v>494</v>
      </c>
      <c r="H96" s="85">
        <v>14800</v>
      </c>
    </row>
    <row r="97" spans="1:8" x14ac:dyDescent="0.2">
      <c r="A97" t="s">
        <v>147</v>
      </c>
      <c r="B97" s="180">
        <v>45013</v>
      </c>
      <c r="C97" s="181">
        <v>0.44027777777777777</v>
      </c>
      <c r="D97" s="179">
        <v>494</v>
      </c>
      <c r="E97" s="179">
        <v>494</v>
      </c>
      <c r="F97" s="179">
        <v>494</v>
      </c>
      <c r="G97" s="179">
        <v>494</v>
      </c>
      <c r="H97" s="85">
        <v>900</v>
      </c>
    </row>
    <row r="98" spans="1:8" x14ac:dyDescent="0.2">
      <c r="A98" t="s">
        <v>147</v>
      </c>
      <c r="B98" s="180">
        <v>45013</v>
      </c>
      <c r="C98" s="181">
        <v>0.44097222222222227</v>
      </c>
      <c r="D98" s="179">
        <v>494</v>
      </c>
      <c r="E98" s="179">
        <v>494</v>
      </c>
      <c r="F98" s="179">
        <v>494</v>
      </c>
      <c r="G98" s="179">
        <v>494</v>
      </c>
      <c r="H98" s="85">
        <v>13200</v>
      </c>
    </row>
    <row r="99" spans="1:8" x14ac:dyDescent="0.2">
      <c r="A99" t="s">
        <v>147</v>
      </c>
      <c r="B99" s="180">
        <v>45013</v>
      </c>
      <c r="C99" s="181">
        <v>0.44166666666666665</v>
      </c>
      <c r="D99" s="179">
        <v>494</v>
      </c>
      <c r="E99" s="179">
        <v>495</v>
      </c>
      <c r="F99" s="179">
        <v>494</v>
      </c>
      <c r="G99" s="179">
        <v>494</v>
      </c>
      <c r="H99" s="85">
        <v>10600</v>
      </c>
    </row>
    <row r="100" spans="1:8" x14ac:dyDescent="0.2">
      <c r="A100" t="s">
        <v>147</v>
      </c>
      <c r="B100" s="180">
        <v>45013</v>
      </c>
      <c r="C100" s="181">
        <v>0.44236111111111115</v>
      </c>
      <c r="D100" s="179">
        <v>494</v>
      </c>
      <c r="E100" s="179">
        <v>494</v>
      </c>
      <c r="F100" s="179">
        <v>494</v>
      </c>
      <c r="G100" s="179">
        <v>494</v>
      </c>
      <c r="H100" s="85">
        <v>300</v>
      </c>
    </row>
    <row r="101" spans="1:8" x14ac:dyDescent="0.2">
      <c r="A101" t="s">
        <v>147</v>
      </c>
      <c r="B101" s="180">
        <v>45013</v>
      </c>
      <c r="C101" s="181">
        <v>0.44305555555555554</v>
      </c>
      <c r="D101" s="179">
        <v>494</v>
      </c>
      <c r="E101" s="179">
        <v>495</v>
      </c>
      <c r="F101" s="179">
        <v>494</v>
      </c>
      <c r="G101" s="179">
        <v>495</v>
      </c>
      <c r="H101" s="85">
        <v>11200</v>
      </c>
    </row>
    <row r="102" spans="1:8" x14ac:dyDescent="0.2">
      <c r="A102" t="s">
        <v>147</v>
      </c>
      <c r="B102" s="180">
        <v>45013</v>
      </c>
      <c r="C102" s="181">
        <v>0.44375000000000003</v>
      </c>
      <c r="D102" s="179">
        <v>495</v>
      </c>
      <c r="E102" s="179">
        <v>495</v>
      </c>
      <c r="F102" s="179">
        <v>495</v>
      </c>
      <c r="G102" s="179">
        <v>495</v>
      </c>
      <c r="H102" s="85">
        <v>1100</v>
      </c>
    </row>
    <row r="103" spans="1:8" x14ac:dyDescent="0.2">
      <c r="A103" t="s">
        <v>147</v>
      </c>
      <c r="B103" s="180">
        <v>45013</v>
      </c>
      <c r="C103" s="181">
        <v>0.44444444444444442</v>
      </c>
      <c r="D103" s="179">
        <v>495</v>
      </c>
      <c r="E103" s="179">
        <v>495</v>
      </c>
      <c r="F103" s="179">
        <v>495</v>
      </c>
      <c r="G103" s="179">
        <v>495</v>
      </c>
      <c r="H103" s="85">
        <v>1800</v>
      </c>
    </row>
    <row r="104" spans="1:8" x14ac:dyDescent="0.2">
      <c r="A104" t="s">
        <v>147</v>
      </c>
      <c r="B104" s="180">
        <v>45013</v>
      </c>
      <c r="C104" s="181">
        <v>0.44513888888888892</v>
      </c>
      <c r="D104" s="179">
        <v>495</v>
      </c>
      <c r="E104" s="179">
        <v>496</v>
      </c>
      <c r="F104" s="179">
        <v>495</v>
      </c>
      <c r="G104" s="179">
        <v>496</v>
      </c>
      <c r="H104" s="85">
        <v>46200</v>
      </c>
    </row>
    <row r="105" spans="1:8" x14ac:dyDescent="0.2">
      <c r="A105" t="s">
        <v>147</v>
      </c>
      <c r="B105" s="180">
        <v>45013</v>
      </c>
      <c r="C105" s="181">
        <v>0.4458333333333333</v>
      </c>
      <c r="D105" s="179">
        <v>496</v>
      </c>
      <c r="E105" s="179">
        <v>496</v>
      </c>
      <c r="F105" s="179">
        <v>495</v>
      </c>
      <c r="G105" s="179">
        <v>496</v>
      </c>
      <c r="H105" s="85">
        <v>6700</v>
      </c>
    </row>
    <row r="106" spans="1:8" x14ac:dyDescent="0.2">
      <c r="A106" t="s">
        <v>147</v>
      </c>
      <c r="B106" s="180">
        <v>45013</v>
      </c>
      <c r="C106" s="181">
        <v>0.4465277777777778</v>
      </c>
      <c r="D106" s="179">
        <v>496</v>
      </c>
      <c r="E106" s="179">
        <v>496</v>
      </c>
      <c r="F106" s="179">
        <v>495</v>
      </c>
      <c r="G106" s="179">
        <v>496</v>
      </c>
      <c r="H106" s="85">
        <v>4500</v>
      </c>
    </row>
    <row r="107" spans="1:8" x14ac:dyDescent="0.2">
      <c r="A107" t="s">
        <v>147</v>
      </c>
      <c r="B107" s="180">
        <v>45013</v>
      </c>
      <c r="C107" s="181">
        <v>0.44722222222222219</v>
      </c>
      <c r="D107" s="179">
        <v>496</v>
      </c>
      <c r="E107" s="179">
        <v>497</v>
      </c>
      <c r="F107" s="179">
        <v>495</v>
      </c>
      <c r="G107" s="179">
        <v>497</v>
      </c>
      <c r="H107" s="85">
        <v>20900</v>
      </c>
    </row>
    <row r="108" spans="1:8" x14ac:dyDescent="0.2">
      <c r="A108" t="s">
        <v>147</v>
      </c>
      <c r="B108" s="180">
        <v>45013</v>
      </c>
      <c r="C108" s="181">
        <v>0.44791666666666669</v>
      </c>
      <c r="D108" s="179">
        <v>497</v>
      </c>
      <c r="E108" s="179">
        <v>497</v>
      </c>
      <c r="F108" s="179">
        <v>496</v>
      </c>
      <c r="G108" s="179">
        <v>496</v>
      </c>
      <c r="H108" s="85">
        <v>7700</v>
      </c>
    </row>
    <row r="109" spans="1:8" x14ac:dyDescent="0.2">
      <c r="A109" t="s">
        <v>147</v>
      </c>
      <c r="B109" s="180">
        <v>45013</v>
      </c>
      <c r="C109" s="181">
        <v>0.44861111111111113</v>
      </c>
      <c r="D109" s="179">
        <v>497</v>
      </c>
      <c r="E109" s="179">
        <v>497</v>
      </c>
      <c r="F109" s="179">
        <v>497</v>
      </c>
      <c r="G109" s="179">
        <v>497</v>
      </c>
      <c r="H109" s="85">
        <v>7000</v>
      </c>
    </row>
    <row r="110" spans="1:8" x14ac:dyDescent="0.2">
      <c r="A110" t="s">
        <v>147</v>
      </c>
      <c r="B110" s="180">
        <v>45013</v>
      </c>
      <c r="C110" s="181">
        <v>0.44930555555555557</v>
      </c>
      <c r="D110" s="179">
        <v>497</v>
      </c>
      <c r="E110" s="179">
        <v>497</v>
      </c>
      <c r="F110" s="179">
        <v>497</v>
      </c>
      <c r="G110" s="179">
        <v>497</v>
      </c>
      <c r="H110" s="85">
        <v>1500</v>
      </c>
    </row>
    <row r="111" spans="1:8" x14ac:dyDescent="0.2">
      <c r="A111" t="s">
        <v>147</v>
      </c>
      <c r="B111" s="180">
        <v>45013</v>
      </c>
      <c r="C111" s="181">
        <v>0.45</v>
      </c>
      <c r="D111" s="179">
        <v>497</v>
      </c>
      <c r="E111" s="179">
        <v>497</v>
      </c>
      <c r="F111" s="179">
        <v>496</v>
      </c>
      <c r="G111" s="179">
        <v>496</v>
      </c>
      <c r="H111" s="85">
        <v>4200</v>
      </c>
    </row>
    <row r="112" spans="1:8" x14ac:dyDescent="0.2">
      <c r="A112" t="s">
        <v>147</v>
      </c>
      <c r="B112" s="180">
        <v>45013</v>
      </c>
      <c r="C112" s="181">
        <v>0.45069444444444445</v>
      </c>
      <c r="D112" s="179">
        <v>497</v>
      </c>
      <c r="E112" s="179">
        <v>497</v>
      </c>
      <c r="F112" s="179">
        <v>497</v>
      </c>
      <c r="G112" s="179">
        <v>497</v>
      </c>
      <c r="H112" s="85">
        <v>13600</v>
      </c>
    </row>
    <row r="113" spans="1:8" x14ac:dyDescent="0.2">
      <c r="A113" t="s">
        <v>147</v>
      </c>
      <c r="B113" s="180">
        <v>45013</v>
      </c>
      <c r="C113" s="181">
        <v>0.4513888888888889</v>
      </c>
      <c r="D113" s="179">
        <v>498</v>
      </c>
      <c r="E113" s="179">
        <v>499</v>
      </c>
      <c r="F113" s="179">
        <v>498</v>
      </c>
      <c r="G113" s="179">
        <v>498</v>
      </c>
      <c r="H113" s="85">
        <v>50100</v>
      </c>
    </row>
    <row r="114" spans="1:8" x14ac:dyDescent="0.2">
      <c r="A114" t="s">
        <v>147</v>
      </c>
      <c r="B114" s="180">
        <v>45013</v>
      </c>
      <c r="C114" s="181">
        <v>0.45208333333333334</v>
      </c>
      <c r="D114" s="179">
        <v>499</v>
      </c>
      <c r="E114" s="179">
        <v>499</v>
      </c>
      <c r="F114" s="179">
        <v>498</v>
      </c>
      <c r="G114" s="179">
        <v>499</v>
      </c>
      <c r="H114" s="85">
        <v>5800</v>
      </c>
    </row>
    <row r="115" spans="1:8" x14ac:dyDescent="0.2">
      <c r="A115" t="s">
        <v>147</v>
      </c>
      <c r="B115" s="180">
        <v>45013</v>
      </c>
      <c r="C115" s="181">
        <v>0.45277777777777778</v>
      </c>
      <c r="D115" s="179">
        <v>499</v>
      </c>
      <c r="E115" s="179">
        <v>499</v>
      </c>
      <c r="F115" s="179">
        <v>498</v>
      </c>
      <c r="G115" s="179">
        <v>499</v>
      </c>
      <c r="H115" s="85">
        <v>21800</v>
      </c>
    </row>
    <row r="116" spans="1:8" x14ac:dyDescent="0.2">
      <c r="A116" t="s">
        <v>147</v>
      </c>
      <c r="B116" s="180">
        <v>45013</v>
      </c>
      <c r="C116" s="181">
        <v>0.45347222222222222</v>
      </c>
      <c r="D116" s="179">
        <v>498</v>
      </c>
      <c r="E116" s="179">
        <v>499</v>
      </c>
      <c r="F116" s="179">
        <v>498</v>
      </c>
      <c r="G116" s="179">
        <v>499</v>
      </c>
      <c r="H116" s="85">
        <v>2300</v>
      </c>
    </row>
    <row r="117" spans="1:8" x14ac:dyDescent="0.2">
      <c r="A117" t="s">
        <v>147</v>
      </c>
      <c r="B117" s="180">
        <v>45013</v>
      </c>
      <c r="C117" s="181">
        <v>0.45416666666666666</v>
      </c>
      <c r="D117" s="179">
        <v>499</v>
      </c>
      <c r="E117" s="179">
        <v>500</v>
      </c>
      <c r="F117" s="179">
        <v>498</v>
      </c>
      <c r="G117" s="179">
        <v>499</v>
      </c>
      <c r="H117" s="85">
        <v>36500</v>
      </c>
    </row>
    <row r="118" spans="1:8" x14ac:dyDescent="0.2">
      <c r="A118" t="s">
        <v>147</v>
      </c>
      <c r="B118" s="180">
        <v>45013</v>
      </c>
      <c r="C118" s="181">
        <v>0.4548611111111111</v>
      </c>
      <c r="D118" s="179">
        <v>500</v>
      </c>
      <c r="E118" s="179">
        <v>500</v>
      </c>
      <c r="F118" s="179">
        <v>499</v>
      </c>
      <c r="G118" s="179">
        <v>500</v>
      </c>
      <c r="H118" s="85">
        <v>6000</v>
      </c>
    </row>
    <row r="119" spans="1:8" x14ac:dyDescent="0.2">
      <c r="A119" t="s">
        <v>147</v>
      </c>
      <c r="B119" s="180">
        <v>45013</v>
      </c>
      <c r="C119" s="181">
        <v>0.45555555555555555</v>
      </c>
      <c r="D119" s="179">
        <v>500</v>
      </c>
      <c r="E119" s="179">
        <v>500</v>
      </c>
      <c r="F119" s="179">
        <v>499</v>
      </c>
      <c r="G119" s="179">
        <v>499</v>
      </c>
      <c r="H119" s="85">
        <v>18600</v>
      </c>
    </row>
    <row r="120" spans="1:8" x14ac:dyDescent="0.2">
      <c r="A120" t="s">
        <v>147</v>
      </c>
      <c r="B120" s="180">
        <v>45013</v>
      </c>
      <c r="C120" s="181">
        <v>0.45624999999999999</v>
      </c>
      <c r="D120" s="179">
        <v>499</v>
      </c>
      <c r="E120" s="179">
        <v>499</v>
      </c>
      <c r="F120" s="179">
        <v>498</v>
      </c>
      <c r="G120" s="179">
        <v>499</v>
      </c>
      <c r="H120" s="85">
        <v>14000</v>
      </c>
    </row>
    <row r="121" spans="1:8" x14ac:dyDescent="0.2">
      <c r="A121" t="s">
        <v>147</v>
      </c>
      <c r="B121" s="180">
        <v>45013</v>
      </c>
      <c r="C121" s="181">
        <v>0.45694444444444443</v>
      </c>
      <c r="D121" s="179">
        <v>498</v>
      </c>
      <c r="E121" s="179">
        <v>498</v>
      </c>
      <c r="F121" s="179">
        <v>498</v>
      </c>
      <c r="G121" s="179">
        <v>498</v>
      </c>
      <c r="H121" s="85">
        <v>200</v>
      </c>
    </row>
    <row r="122" spans="1:8" x14ac:dyDescent="0.2">
      <c r="A122" t="s">
        <v>147</v>
      </c>
      <c r="B122" s="180">
        <v>45013</v>
      </c>
      <c r="C122" s="181">
        <v>0.45763888888888887</v>
      </c>
      <c r="D122" s="179">
        <v>498</v>
      </c>
      <c r="E122" s="179">
        <v>499</v>
      </c>
      <c r="F122" s="179">
        <v>498</v>
      </c>
      <c r="G122" s="179">
        <v>498</v>
      </c>
      <c r="H122" s="85">
        <v>1000</v>
      </c>
    </row>
    <row r="123" spans="1:8" x14ac:dyDescent="0.2">
      <c r="A123" t="s">
        <v>147</v>
      </c>
      <c r="B123" s="180">
        <v>45013</v>
      </c>
      <c r="C123" s="181">
        <v>0.45833333333333331</v>
      </c>
      <c r="D123" s="179">
        <v>499</v>
      </c>
      <c r="E123" s="179">
        <v>499</v>
      </c>
      <c r="F123" s="179">
        <v>498</v>
      </c>
      <c r="G123" s="179">
        <v>499</v>
      </c>
      <c r="H123" s="85">
        <v>3100</v>
      </c>
    </row>
    <row r="124" spans="1:8" x14ac:dyDescent="0.2">
      <c r="A124" t="s">
        <v>147</v>
      </c>
      <c r="B124" s="180">
        <v>45013</v>
      </c>
      <c r="C124" s="181">
        <v>0.45902777777777781</v>
      </c>
      <c r="D124" s="179">
        <v>499</v>
      </c>
      <c r="E124" s="179">
        <v>500</v>
      </c>
      <c r="F124" s="179">
        <v>499</v>
      </c>
      <c r="G124" s="179">
        <v>500</v>
      </c>
      <c r="H124" s="85">
        <v>17300</v>
      </c>
    </row>
    <row r="125" spans="1:8" x14ac:dyDescent="0.2">
      <c r="A125" t="s">
        <v>147</v>
      </c>
      <c r="B125" s="180">
        <v>45013</v>
      </c>
      <c r="C125" s="181">
        <v>0.4597222222222222</v>
      </c>
      <c r="D125" s="179">
        <v>499</v>
      </c>
      <c r="E125" s="179">
        <v>500</v>
      </c>
      <c r="F125" s="179">
        <v>499</v>
      </c>
      <c r="G125" s="179">
        <v>500</v>
      </c>
      <c r="H125" s="85">
        <v>11300</v>
      </c>
    </row>
    <row r="126" spans="1:8" x14ac:dyDescent="0.2">
      <c r="A126" t="s">
        <v>147</v>
      </c>
      <c r="B126" s="180">
        <v>45013</v>
      </c>
      <c r="C126" s="181">
        <v>0.4604166666666667</v>
      </c>
      <c r="D126" s="179">
        <v>499</v>
      </c>
      <c r="E126" s="179">
        <v>500</v>
      </c>
      <c r="F126" s="179">
        <v>499</v>
      </c>
      <c r="G126" s="179">
        <v>499</v>
      </c>
      <c r="H126" s="85">
        <v>2000</v>
      </c>
    </row>
    <row r="127" spans="1:8" x14ac:dyDescent="0.2">
      <c r="A127" t="s">
        <v>147</v>
      </c>
      <c r="B127" s="180">
        <v>45013</v>
      </c>
      <c r="C127" s="181">
        <v>0.46111111111111108</v>
      </c>
      <c r="D127" s="179">
        <v>499</v>
      </c>
      <c r="E127" s="179">
        <v>499</v>
      </c>
      <c r="F127" s="179">
        <v>499</v>
      </c>
      <c r="G127" s="179">
        <v>499</v>
      </c>
      <c r="H127" s="85">
        <v>1900</v>
      </c>
    </row>
    <row r="128" spans="1:8" x14ac:dyDescent="0.2">
      <c r="A128" t="s">
        <v>147</v>
      </c>
      <c r="B128" s="180">
        <v>45013</v>
      </c>
      <c r="C128" s="181">
        <v>0.46180555555555558</v>
      </c>
      <c r="D128" s="179">
        <v>499</v>
      </c>
      <c r="E128" s="179">
        <v>500</v>
      </c>
      <c r="F128" s="179">
        <v>499</v>
      </c>
      <c r="G128" s="179">
        <v>500</v>
      </c>
      <c r="H128" s="85">
        <v>1100</v>
      </c>
    </row>
    <row r="129" spans="1:8" x14ac:dyDescent="0.2">
      <c r="A129" t="s">
        <v>147</v>
      </c>
      <c r="B129" s="180">
        <v>45013</v>
      </c>
      <c r="C129" s="181">
        <v>0.46249999999999997</v>
      </c>
      <c r="D129" s="179">
        <v>500</v>
      </c>
      <c r="E129" s="179">
        <v>504</v>
      </c>
      <c r="F129" s="179">
        <v>500</v>
      </c>
      <c r="G129" s="179">
        <v>503</v>
      </c>
      <c r="H129" s="85">
        <v>174500</v>
      </c>
    </row>
    <row r="130" spans="1:8" x14ac:dyDescent="0.2">
      <c r="A130" t="s">
        <v>147</v>
      </c>
      <c r="B130" s="180">
        <v>45013</v>
      </c>
      <c r="C130" s="181">
        <v>0.46319444444444446</v>
      </c>
      <c r="D130" s="179">
        <v>504</v>
      </c>
      <c r="E130" s="179">
        <v>504</v>
      </c>
      <c r="F130" s="179">
        <v>501</v>
      </c>
      <c r="G130" s="179">
        <v>501</v>
      </c>
      <c r="H130" s="85">
        <v>52400</v>
      </c>
    </row>
    <row r="131" spans="1:8" x14ac:dyDescent="0.2">
      <c r="A131" t="s">
        <v>147</v>
      </c>
      <c r="B131" s="180">
        <v>45013</v>
      </c>
      <c r="C131" s="181">
        <v>0.46388888888888885</v>
      </c>
      <c r="D131" s="179">
        <v>501</v>
      </c>
      <c r="E131" s="179">
        <v>503</v>
      </c>
      <c r="F131" s="179">
        <v>501</v>
      </c>
      <c r="G131" s="179">
        <v>503</v>
      </c>
      <c r="H131" s="85">
        <v>24400</v>
      </c>
    </row>
    <row r="132" spans="1:8" x14ac:dyDescent="0.2">
      <c r="A132" t="s">
        <v>147</v>
      </c>
      <c r="B132" s="180">
        <v>45013</v>
      </c>
      <c r="C132" s="181">
        <v>0.46458333333333335</v>
      </c>
      <c r="D132" s="179">
        <v>504</v>
      </c>
      <c r="E132" s="179">
        <v>504</v>
      </c>
      <c r="F132" s="179">
        <v>503</v>
      </c>
      <c r="G132" s="179">
        <v>504</v>
      </c>
      <c r="H132" s="85">
        <v>42800</v>
      </c>
    </row>
    <row r="133" spans="1:8" x14ac:dyDescent="0.2">
      <c r="A133" t="s">
        <v>147</v>
      </c>
      <c r="B133" s="180">
        <v>45013</v>
      </c>
      <c r="C133" s="181">
        <v>0.46527777777777773</v>
      </c>
      <c r="D133" s="179">
        <v>504</v>
      </c>
      <c r="E133" s="179">
        <v>504</v>
      </c>
      <c r="F133" s="179">
        <v>503</v>
      </c>
      <c r="G133" s="179">
        <v>503</v>
      </c>
      <c r="H133" s="85">
        <v>27400</v>
      </c>
    </row>
    <row r="134" spans="1:8" x14ac:dyDescent="0.2">
      <c r="A134" t="s">
        <v>147</v>
      </c>
      <c r="B134" s="180">
        <v>45013</v>
      </c>
      <c r="C134" s="181">
        <v>0.46597222222222223</v>
      </c>
      <c r="D134" s="179">
        <v>503</v>
      </c>
      <c r="E134" s="179">
        <v>503</v>
      </c>
      <c r="F134" s="179">
        <v>501</v>
      </c>
      <c r="G134" s="179">
        <v>501</v>
      </c>
      <c r="H134" s="85">
        <v>38700</v>
      </c>
    </row>
    <row r="135" spans="1:8" x14ac:dyDescent="0.2">
      <c r="A135" t="s">
        <v>147</v>
      </c>
      <c r="B135" s="180">
        <v>45013</v>
      </c>
      <c r="C135" s="181">
        <v>0.46666666666666662</v>
      </c>
      <c r="D135" s="179">
        <v>500</v>
      </c>
      <c r="E135" s="179">
        <v>501</v>
      </c>
      <c r="F135" s="179">
        <v>500</v>
      </c>
      <c r="G135" s="179">
        <v>500</v>
      </c>
      <c r="H135" s="85">
        <v>12800</v>
      </c>
    </row>
    <row r="136" spans="1:8" x14ac:dyDescent="0.2">
      <c r="A136" t="s">
        <v>147</v>
      </c>
      <c r="B136" s="180">
        <v>45013</v>
      </c>
      <c r="C136" s="181">
        <v>0.46736111111111112</v>
      </c>
      <c r="D136" s="179">
        <v>500</v>
      </c>
      <c r="E136" s="179">
        <v>501</v>
      </c>
      <c r="F136" s="179">
        <v>500</v>
      </c>
      <c r="G136" s="179">
        <v>501</v>
      </c>
      <c r="H136" s="85">
        <v>17300</v>
      </c>
    </row>
    <row r="137" spans="1:8" x14ac:dyDescent="0.2">
      <c r="A137" t="s">
        <v>147</v>
      </c>
      <c r="B137" s="180">
        <v>45013</v>
      </c>
      <c r="C137" s="181">
        <v>0.4680555555555555</v>
      </c>
      <c r="D137" s="179">
        <v>502</v>
      </c>
      <c r="E137" s="179">
        <v>503</v>
      </c>
      <c r="F137" s="179">
        <v>502</v>
      </c>
      <c r="G137" s="179">
        <v>502</v>
      </c>
      <c r="H137" s="85">
        <v>9300</v>
      </c>
    </row>
    <row r="138" spans="1:8" x14ac:dyDescent="0.2">
      <c r="A138" t="s">
        <v>147</v>
      </c>
      <c r="B138" s="180">
        <v>45013</v>
      </c>
      <c r="C138" s="181">
        <v>0.46875</v>
      </c>
      <c r="D138" s="179">
        <v>502</v>
      </c>
      <c r="E138" s="179">
        <v>503</v>
      </c>
      <c r="F138" s="179">
        <v>501</v>
      </c>
      <c r="G138" s="179">
        <v>502</v>
      </c>
      <c r="H138" s="85">
        <v>10400</v>
      </c>
    </row>
    <row r="139" spans="1:8" x14ac:dyDescent="0.2">
      <c r="A139" t="s">
        <v>147</v>
      </c>
      <c r="B139" s="180">
        <v>45013</v>
      </c>
      <c r="C139" s="181">
        <v>0.4694444444444445</v>
      </c>
      <c r="D139" s="179">
        <v>502</v>
      </c>
      <c r="E139" s="179">
        <v>502</v>
      </c>
      <c r="F139" s="179">
        <v>501</v>
      </c>
      <c r="G139" s="179">
        <v>502</v>
      </c>
      <c r="H139" s="85">
        <v>16900</v>
      </c>
    </row>
    <row r="140" spans="1:8" x14ac:dyDescent="0.2">
      <c r="A140" t="s">
        <v>147</v>
      </c>
      <c r="B140" s="180">
        <v>45013</v>
      </c>
      <c r="C140" s="181">
        <v>0.47013888888888888</v>
      </c>
      <c r="D140" s="179">
        <v>502</v>
      </c>
      <c r="E140" s="179">
        <v>503</v>
      </c>
      <c r="F140" s="179">
        <v>502</v>
      </c>
      <c r="G140" s="179">
        <v>502</v>
      </c>
      <c r="H140" s="85">
        <v>6400</v>
      </c>
    </row>
    <row r="141" spans="1:8" x14ac:dyDescent="0.2">
      <c r="A141" t="s">
        <v>147</v>
      </c>
      <c r="B141" s="180">
        <v>45013</v>
      </c>
      <c r="C141" s="181">
        <v>0.47083333333333338</v>
      </c>
      <c r="D141" s="179">
        <v>502</v>
      </c>
      <c r="E141" s="179">
        <v>502</v>
      </c>
      <c r="F141" s="179">
        <v>502</v>
      </c>
      <c r="G141" s="179">
        <v>502</v>
      </c>
      <c r="H141" s="85">
        <v>5700</v>
      </c>
    </row>
    <row r="142" spans="1:8" x14ac:dyDescent="0.2">
      <c r="A142" t="s">
        <v>147</v>
      </c>
      <c r="B142" s="180">
        <v>45013</v>
      </c>
      <c r="C142" s="181">
        <v>0.47152777777777777</v>
      </c>
      <c r="D142" s="179">
        <v>502</v>
      </c>
      <c r="E142" s="179">
        <v>502</v>
      </c>
      <c r="F142" s="179">
        <v>501</v>
      </c>
      <c r="G142" s="179">
        <v>502</v>
      </c>
      <c r="H142" s="85">
        <v>1200</v>
      </c>
    </row>
    <row r="143" spans="1:8" x14ac:dyDescent="0.2">
      <c r="A143" t="s">
        <v>147</v>
      </c>
      <c r="B143" s="180">
        <v>45013</v>
      </c>
      <c r="C143" s="181">
        <v>0.47222222222222227</v>
      </c>
      <c r="D143" s="179">
        <v>501</v>
      </c>
      <c r="E143" s="179">
        <v>502</v>
      </c>
      <c r="F143" s="179">
        <v>501</v>
      </c>
      <c r="G143" s="179">
        <v>502</v>
      </c>
      <c r="H143" s="85">
        <v>8700</v>
      </c>
    </row>
    <row r="144" spans="1:8" x14ac:dyDescent="0.2">
      <c r="A144" t="s">
        <v>147</v>
      </c>
      <c r="B144" s="180">
        <v>45013</v>
      </c>
      <c r="C144" s="181">
        <v>0.47291666666666665</v>
      </c>
      <c r="D144" s="179">
        <v>502</v>
      </c>
      <c r="E144" s="179">
        <v>503</v>
      </c>
      <c r="F144" s="179">
        <v>501</v>
      </c>
      <c r="G144" s="179">
        <v>502</v>
      </c>
      <c r="H144" s="85">
        <v>9800</v>
      </c>
    </row>
    <row r="145" spans="1:8" x14ac:dyDescent="0.2">
      <c r="A145" t="s">
        <v>147</v>
      </c>
      <c r="B145" s="180">
        <v>45013</v>
      </c>
      <c r="C145" s="181">
        <v>0.47361111111111115</v>
      </c>
      <c r="D145" s="179">
        <v>502</v>
      </c>
      <c r="E145" s="179">
        <v>503</v>
      </c>
      <c r="F145" s="179">
        <v>500</v>
      </c>
      <c r="G145" s="179">
        <v>501</v>
      </c>
      <c r="H145" s="85">
        <v>24100</v>
      </c>
    </row>
    <row r="146" spans="1:8" x14ac:dyDescent="0.2">
      <c r="A146" t="s">
        <v>147</v>
      </c>
      <c r="B146" s="180">
        <v>45013</v>
      </c>
      <c r="C146" s="181">
        <v>0.47430555555555554</v>
      </c>
      <c r="D146" s="179">
        <v>501</v>
      </c>
      <c r="E146" s="179">
        <v>502</v>
      </c>
      <c r="F146" s="179">
        <v>501</v>
      </c>
      <c r="G146" s="179">
        <v>502</v>
      </c>
      <c r="H146" s="85">
        <v>5900</v>
      </c>
    </row>
    <row r="147" spans="1:8" x14ac:dyDescent="0.2">
      <c r="A147" t="s">
        <v>147</v>
      </c>
      <c r="B147" s="180">
        <v>45013</v>
      </c>
      <c r="C147" s="181">
        <v>0.47500000000000003</v>
      </c>
      <c r="D147" s="179">
        <v>502</v>
      </c>
      <c r="E147" s="179">
        <v>502</v>
      </c>
      <c r="F147" s="179">
        <v>500</v>
      </c>
      <c r="G147" s="179">
        <v>501</v>
      </c>
      <c r="H147" s="85">
        <v>25500</v>
      </c>
    </row>
    <row r="148" spans="1:8" x14ac:dyDescent="0.2">
      <c r="A148" t="s">
        <v>147</v>
      </c>
      <c r="B148" s="180">
        <v>45013</v>
      </c>
      <c r="C148" s="181">
        <v>0.47569444444444442</v>
      </c>
      <c r="D148" s="179">
        <v>500</v>
      </c>
      <c r="E148" s="179">
        <v>500</v>
      </c>
      <c r="F148" s="179">
        <v>499</v>
      </c>
      <c r="G148" s="179">
        <v>499</v>
      </c>
      <c r="H148" s="85">
        <v>39000</v>
      </c>
    </row>
    <row r="149" spans="1:8" x14ac:dyDescent="0.2">
      <c r="A149" t="s">
        <v>147</v>
      </c>
      <c r="B149" s="180">
        <v>45013</v>
      </c>
      <c r="C149" s="181">
        <v>0.47638888888888892</v>
      </c>
      <c r="D149" s="179">
        <v>500</v>
      </c>
      <c r="E149" s="179">
        <v>500</v>
      </c>
      <c r="F149" s="179">
        <v>499</v>
      </c>
      <c r="G149" s="179">
        <v>500</v>
      </c>
      <c r="H149" s="85">
        <v>900</v>
      </c>
    </row>
    <row r="150" spans="1:8" x14ac:dyDescent="0.2">
      <c r="A150" t="s">
        <v>147</v>
      </c>
      <c r="B150" s="180">
        <v>45013</v>
      </c>
      <c r="C150" s="181">
        <v>0.4770833333333333</v>
      </c>
      <c r="D150" s="179">
        <v>499</v>
      </c>
      <c r="E150" s="179">
        <v>500</v>
      </c>
      <c r="F150" s="179">
        <v>499</v>
      </c>
      <c r="G150" s="179">
        <v>500</v>
      </c>
      <c r="H150" s="85">
        <v>4200</v>
      </c>
    </row>
    <row r="151" spans="1:8" x14ac:dyDescent="0.2">
      <c r="A151" t="s">
        <v>147</v>
      </c>
      <c r="B151" s="180">
        <v>45013</v>
      </c>
      <c r="C151" s="181">
        <v>0.4777777777777778</v>
      </c>
      <c r="D151" s="179">
        <v>499</v>
      </c>
      <c r="E151" s="179">
        <v>500</v>
      </c>
      <c r="F151" s="179">
        <v>499</v>
      </c>
      <c r="G151" s="179">
        <v>500</v>
      </c>
      <c r="H151" s="85">
        <v>9800</v>
      </c>
    </row>
    <row r="152" spans="1:8" x14ac:dyDescent="0.2">
      <c r="A152" t="s">
        <v>147</v>
      </c>
      <c r="B152" s="180">
        <v>45013</v>
      </c>
      <c r="C152" s="181">
        <v>0.47847222222222219</v>
      </c>
      <c r="D152" s="179">
        <v>499</v>
      </c>
      <c r="E152" s="179">
        <v>500</v>
      </c>
      <c r="F152" s="179">
        <v>499</v>
      </c>
      <c r="G152" s="179">
        <v>500</v>
      </c>
      <c r="H152" s="85">
        <v>5800</v>
      </c>
    </row>
    <row r="153" spans="1:8" x14ac:dyDescent="0.2">
      <c r="A153" t="s">
        <v>147</v>
      </c>
      <c r="B153" s="180">
        <v>45013</v>
      </c>
      <c r="C153" s="181">
        <v>0.47916666666666669</v>
      </c>
      <c r="D153" s="179">
        <v>500</v>
      </c>
      <c r="E153" s="179">
        <v>500</v>
      </c>
      <c r="F153" s="179">
        <v>500</v>
      </c>
      <c r="G153" s="179">
        <v>500</v>
      </c>
      <c r="H153" s="85">
        <v>6800</v>
      </c>
    </row>
    <row r="154" spans="1:8" x14ac:dyDescent="0.2">
      <c r="A154" t="s">
        <v>147</v>
      </c>
      <c r="B154" s="180">
        <v>45013</v>
      </c>
      <c r="C154" s="181">
        <v>0.52083333333333337</v>
      </c>
      <c r="D154" s="179">
        <v>502</v>
      </c>
      <c r="E154" s="179">
        <v>502</v>
      </c>
      <c r="F154" s="179">
        <v>500</v>
      </c>
      <c r="G154" s="179">
        <v>501</v>
      </c>
      <c r="H154" s="85">
        <v>129600</v>
      </c>
    </row>
    <row r="155" spans="1:8" x14ac:dyDescent="0.2">
      <c r="A155" t="s">
        <v>147</v>
      </c>
      <c r="B155" s="180">
        <v>45013</v>
      </c>
      <c r="C155" s="181">
        <v>0.52152777777777781</v>
      </c>
      <c r="D155" s="179">
        <v>501</v>
      </c>
      <c r="E155" s="179">
        <v>501</v>
      </c>
      <c r="F155" s="179">
        <v>500</v>
      </c>
      <c r="G155" s="179">
        <v>500</v>
      </c>
      <c r="H155" s="85">
        <v>9200</v>
      </c>
    </row>
    <row r="156" spans="1:8" x14ac:dyDescent="0.2">
      <c r="A156" t="s">
        <v>147</v>
      </c>
      <c r="B156" s="180">
        <v>45013</v>
      </c>
      <c r="C156" s="181">
        <v>0.52222222222222225</v>
      </c>
      <c r="D156" s="179">
        <v>501</v>
      </c>
      <c r="E156" s="179">
        <v>501</v>
      </c>
      <c r="F156" s="179">
        <v>501</v>
      </c>
      <c r="G156" s="179">
        <v>501</v>
      </c>
      <c r="H156" s="85">
        <v>22300</v>
      </c>
    </row>
    <row r="157" spans="1:8" x14ac:dyDescent="0.2">
      <c r="A157" t="s">
        <v>147</v>
      </c>
      <c r="B157" s="180">
        <v>45013</v>
      </c>
      <c r="C157" s="181">
        <v>0.5229166666666667</v>
      </c>
      <c r="D157" s="179">
        <v>501</v>
      </c>
      <c r="E157" s="179">
        <v>501</v>
      </c>
      <c r="F157" s="179">
        <v>500</v>
      </c>
      <c r="G157" s="179">
        <v>500</v>
      </c>
      <c r="H157" s="85">
        <v>60100</v>
      </c>
    </row>
    <row r="158" spans="1:8" x14ac:dyDescent="0.2">
      <c r="A158" t="s">
        <v>147</v>
      </c>
      <c r="B158" s="180">
        <v>45013</v>
      </c>
      <c r="C158" s="181">
        <v>0.52361111111111114</v>
      </c>
      <c r="D158" s="179">
        <v>500</v>
      </c>
      <c r="E158" s="179">
        <v>501</v>
      </c>
      <c r="F158" s="179">
        <v>500</v>
      </c>
      <c r="G158" s="179">
        <v>500</v>
      </c>
      <c r="H158" s="85">
        <v>5900</v>
      </c>
    </row>
    <row r="159" spans="1:8" x14ac:dyDescent="0.2">
      <c r="A159" t="s">
        <v>147</v>
      </c>
      <c r="B159" s="180">
        <v>45013</v>
      </c>
      <c r="C159" s="181">
        <v>0.52430555555555558</v>
      </c>
      <c r="D159" s="179">
        <v>501</v>
      </c>
      <c r="E159" s="179">
        <v>503</v>
      </c>
      <c r="F159" s="179">
        <v>501</v>
      </c>
      <c r="G159" s="179">
        <v>503</v>
      </c>
      <c r="H159" s="85">
        <v>47800</v>
      </c>
    </row>
    <row r="160" spans="1:8" x14ac:dyDescent="0.2">
      <c r="A160" t="s">
        <v>147</v>
      </c>
      <c r="B160" s="180">
        <v>45013</v>
      </c>
      <c r="C160" s="181">
        <v>0.52500000000000002</v>
      </c>
      <c r="D160" s="179">
        <v>503</v>
      </c>
      <c r="E160" s="179">
        <v>505</v>
      </c>
      <c r="F160" s="179">
        <v>502</v>
      </c>
      <c r="G160" s="179">
        <v>504</v>
      </c>
      <c r="H160" s="85">
        <v>48000</v>
      </c>
    </row>
    <row r="161" spans="1:8" x14ac:dyDescent="0.2">
      <c r="A161" t="s">
        <v>147</v>
      </c>
      <c r="B161" s="180">
        <v>45013</v>
      </c>
      <c r="C161" s="181">
        <v>0.52569444444444446</v>
      </c>
      <c r="D161" s="179">
        <v>504</v>
      </c>
      <c r="E161" s="179">
        <v>505</v>
      </c>
      <c r="F161" s="179">
        <v>504</v>
      </c>
      <c r="G161" s="179">
        <v>504</v>
      </c>
      <c r="H161" s="85">
        <v>15200</v>
      </c>
    </row>
    <row r="162" spans="1:8" x14ac:dyDescent="0.2">
      <c r="A162" t="s">
        <v>147</v>
      </c>
      <c r="B162" s="180">
        <v>45013</v>
      </c>
      <c r="C162" s="181">
        <v>0.52638888888888891</v>
      </c>
      <c r="D162" s="179">
        <v>505</v>
      </c>
      <c r="E162" s="179">
        <v>508</v>
      </c>
      <c r="F162" s="179">
        <v>505</v>
      </c>
      <c r="G162" s="179">
        <v>508</v>
      </c>
      <c r="H162" s="85">
        <v>108900</v>
      </c>
    </row>
    <row r="163" spans="1:8" x14ac:dyDescent="0.2">
      <c r="A163" t="s">
        <v>147</v>
      </c>
      <c r="B163" s="180">
        <v>45013</v>
      </c>
      <c r="C163" s="181">
        <v>0.52708333333333335</v>
      </c>
      <c r="D163" s="179">
        <v>507</v>
      </c>
      <c r="E163" s="179">
        <v>509</v>
      </c>
      <c r="F163" s="179">
        <v>507</v>
      </c>
      <c r="G163" s="179">
        <v>507</v>
      </c>
      <c r="H163" s="85">
        <v>80700</v>
      </c>
    </row>
    <row r="164" spans="1:8" x14ac:dyDescent="0.2">
      <c r="A164" t="s">
        <v>147</v>
      </c>
      <c r="B164" s="180">
        <v>45013</v>
      </c>
      <c r="C164" s="181">
        <v>0.52777777777777779</v>
      </c>
      <c r="D164" s="179">
        <v>507</v>
      </c>
      <c r="E164" s="179">
        <v>508</v>
      </c>
      <c r="F164" s="179">
        <v>507</v>
      </c>
      <c r="G164" s="179">
        <v>508</v>
      </c>
      <c r="H164" s="85">
        <v>33200</v>
      </c>
    </row>
    <row r="165" spans="1:8" x14ac:dyDescent="0.2">
      <c r="A165" t="s">
        <v>147</v>
      </c>
      <c r="B165" s="180">
        <v>45013</v>
      </c>
      <c r="C165" s="181">
        <v>0.52847222222222223</v>
      </c>
      <c r="D165" s="179">
        <v>508</v>
      </c>
      <c r="E165" s="179">
        <v>508</v>
      </c>
      <c r="F165" s="179">
        <v>507</v>
      </c>
      <c r="G165" s="179">
        <v>508</v>
      </c>
      <c r="H165" s="85">
        <v>3500</v>
      </c>
    </row>
    <row r="166" spans="1:8" x14ac:dyDescent="0.2">
      <c r="A166" t="s">
        <v>147</v>
      </c>
      <c r="B166" s="180">
        <v>45013</v>
      </c>
      <c r="C166" s="181">
        <v>0.52916666666666667</v>
      </c>
      <c r="D166" s="179">
        <v>507</v>
      </c>
      <c r="E166" s="179">
        <v>508</v>
      </c>
      <c r="F166" s="179">
        <v>507</v>
      </c>
      <c r="G166" s="179">
        <v>508</v>
      </c>
      <c r="H166" s="85">
        <v>3000</v>
      </c>
    </row>
    <row r="167" spans="1:8" x14ac:dyDescent="0.2">
      <c r="A167" t="s">
        <v>147</v>
      </c>
      <c r="B167" s="180">
        <v>45013</v>
      </c>
      <c r="C167" s="181">
        <v>0.52986111111111112</v>
      </c>
      <c r="D167" s="179">
        <v>508</v>
      </c>
      <c r="E167" s="179">
        <v>508</v>
      </c>
      <c r="F167" s="179">
        <v>506</v>
      </c>
      <c r="G167" s="179">
        <v>507</v>
      </c>
      <c r="H167" s="85">
        <v>43400</v>
      </c>
    </row>
    <row r="168" spans="1:8" x14ac:dyDescent="0.2">
      <c r="A168" t="s">
        <v>147</v>
      </c>
      <c r="B168" s="180">
        <v>45013</v>
      </c>
      <c r="C168" s="181">
        <v>0.53055555555555556</v>
      </c>
      <c r="D168" s="179">
        <v>507</v>
      </c>
      <c r="E168" s="179">
        <v>508</v>
      </c>
      <c r="F168" s="179">
        <v>506</v>
      </c>
      <c r="G168" s="179">
        <v>507</v>
      </c>
      <c r="H168" s="85">
        <v>15100</v>
      </c>
    </row>
    <row r="169" spans="1:8" x14ac:dyDescent="0.2">
      <c r="A169" t="s">
        <v>147</v>
      </c>
      <c r="B169" s="180">
        <v>45013</v>
      </c>
      <c r="C169" s="181">
        <v>0.53125</v>
      </c>
      <c r="D169" s="179">
        <v>507</v>
      </c>
      <c r="E169" s="179">
        <v>507</v>
      </c>
      <c r="F169" s="179">
        <v>505</v>
      </c>
      <c r="G169" s="179">
        <v>506</v>
      </c>
      <c r="H169" s="85">
        <v>12800</v>
      </c>
    </row>
    <row r="170" spans="1:8" x14ac:dyDescent="0.2">
      <c r="A170" t="s">
        <v>147</v>
      </c>
      <c r="B170" s="180">
        <v>45013</v>
      </c>
      <c r="C170" s="181">
        <v>0.53194444444444444</v>
      </c>
      <c r="D170" s="179">
        <v>506</v>
      </c>
      <c r="E170" s="179">
        <v>507</v>
      </c>
      <c r="F170" s="179">
        <v>506</v>
      </c>
      <c r="G170" s="179">
        <v>506</v>
      </c>
      <c r="H170" s="85">
        <v>23200</v>
      </c>
    </row>
    <row r="171" spans="1:8" x14ac:dyDescent="0.2">
      <c r="A171" t="s">
        <v>147</v>
      </c>
      <c r="B171" s="180">
        <v>45013</v>
      </c>
      <c r="C171" s="181">
        <v>0.53263888888888888</v>
      </c>
      <c r="D171" s="179">
        <v>506</v>
      </c>
      <c r="E171" s="179">
        <v>507</v>
      </c>
      <c r="F171" s="179">
        <v>505</v>
      </c>
      <c r="G171" s="179">
        <v>506</v>
      </c>
      <c r="H171" s="85">
        <v>5600</v>
      </c>
    </row>
    <row r="172" spans="1:8" x14ac:dyDescent="0.2">
      <c r="A172" t="s">
        <v>147</v>
      </c>
      <c r="B172" s="180">
        <v>45013</v>
      </c>
      <c r="C172" s="181">
        <v>0.53333333333333333</v>
      </c>
      <c r="D172" s="179">
        <v>506</v>
      </c>
      <c r="E172" s="179">
        <v>506</v>
      </c>
      <c r="F172" s="179">
        <v>505</v>
      </c>
      <c r="G172" s="179">
        <v>505</v>
      </c>
      <c r="H172" s="85">
        <v>6600</v>
      </c>
    </row>
    <row r="173" spans="1:8" x14ac:dyDescent="0.2">
      <c r="A173" t="s">
        <v>147</v>
      </c>
      <c r="B173" s="180">
        <v>45013</v>
      </c>
      <c r="C173" s="181">
        <v>0.53402777777777777</v>
      </c>
      <c r="D173" s="179">
        <v>505</v>
      </c>
      <c r="E173" s="179">
        <v>506</v>
      </c>
      <c r="F173" s="179">
        <v>505</v>
      </c>
      <c r="G173" s="179">
        <v>505</v>
      </c>
      <c r="H173" s="85">
        <v>33500</v>
      </c>
    </row>
    <row r="174" spans="1:8" x14ac:dyDescent="0.2">
      <c r="A174" t="s">
        <v>147</v>
      </c>
      <c r="B174" s="180">
        <v>45013</v>
      </c>
      <c r="C174" s="181">
        <v>0.53472222222222221</v>
      </c>
      <c r="D174" s="179">
        <v>505</v>
      </c>
      <c r="E174" s="179">
        <v>505</v>
      </c>
      <c r="F174" s="179">
        <v>504</v>
      </c>
      <c r="G174" s="179">
        <v>504</v>
      </c>
      <c r="H174" s="85">
        <v>18500</v>
      </c>
    </row>
    <row r="175" spans="1:8" x14ac:dyDescent="0.2">
      <c r="A175" t="s">
        <v>147</v>
      </c>
      <c r="B175" s="180">
        <v>45013</v>
      </c>
      <c r="C175" s="181">
        <v>0.53541666666666665</v>
      </c>
      <c r="D175" s="179">
        <v>504</v>
      </c>
      <c r="E175" s="179">
        <v>505</v>
      </c>
      <c r="F175" s="179">
        <v>503</v>
      </c>
      <c r="G175" s="179">
        <v>503</v>
      </c>
      <c r="H175" s="85">
        <v>4900</v>
      </c>
    </row>
    <row r="176" spans="1:8" x14ac:dyDescent="0.2">
      <c r="A176" t="s">
        <v>147</v>
      </c>
      <c r="B176" s="180">
        <v>45013</v>
      </c>
      <c r="C176" s="181">
        <v>0.53611111111111109</v>
      </c>
      <c r="D176" s="179">
        <v>503</v>
      </c>
      <c r="E176" s="179">
        <v>504</v>
      </c>
      <c r="F176" s="179">
        <v>503</v>
      </c>
      <c r="G176" s="179">
        <v>503</v>
      </c>
      <c r="H176" s="85">
        <v>1500</v>
      </c>
    </row>
    <row r="177" spans="1:8" x14ac:dyDescent="0.2">
      <c r="A177" t="s">
        <v>147</v>
      </c>
      <c r="B177" s="180">
        <v>45013</v>
      </c>
      <c r="C177" s="181">
        <v>0.53680555555555554</v>
      </c>
      <c r="D177" s="179">
        <v>504</v>
      </c>
      <c r="E177" s="179">
        <v>504</v>
      </c>
      <c r="F177" s="179">
        <v>503</v>
      </c>
      <c r="G177" s="179">
        <v>503</v>
      </c>
      <c r="H177" s="85">
        <v>4300</v>
      </c>
    </row>
    <row r="178" spans="1:8" x14ac:dyDescent="0.2">
      <c r="A178" t="s">
        <v>147</v>
      </c>
      <c r="B178" s="180">
        <v>45013</v>
      </c>
      <c r="C178" s="181">
        <v>0.53749999999999998</v>
      </c>
      <c r="D178" s="179">
        <v>504</v>
      </c>
      <c r="E178" s="179">
        <v>504</v>
      </c>
      <c r="F178" s="179">
        <v>503</v>
      </c>
      <c r="G178" s="179">
        <v>503</v>
      </c>
      <c r="H178" s="85">
        <v>3200</v>
      </c>
    </row>
    <row r="179" spans="1:8" x14ac:dyDescent="0.2">
      <c r="A179" t="s">
        <v>147</v>
      </c>
      <c r="B179" s="180">
        <v>45013</v>
      </c>
      <c r="C179" s="181">
        <v>0.53819444444444442</v>
      </c>
      <c r="D179" s="179">
        <v>504</v>
      </c>
      <c r="E179" s="179">
        <v>504</v>
      </c>
      <c r="F179" s="179">
        <v>501</v>
      </c>
      <c r="G179" s="179">
        <v>502</v>
      </c>
      <c r="H179" s="85">
        <v>70900</v>
      </c>
    </row>
    <row r="180" spans="1:8" x14ac:dyDescent="0.2">
      <c r="A180" t="s">
        <v>147</v>
      </c>
      <c r="B180" s="180">
        <v>45013</v>
      </c>
      <c r="C180" s="181">
        <v>0.53888888888888886</v>
      </c>
      <c r="D180" s="179">
        <v>502</v>
      </c>
      <c r="E180" s="179">
        <v>503</v>
      </c>
      <c r="F180" s="179">
        <v>501</v>
      </c>
      <c r="G180" s="179">
        <v>502</v>
      </c>
      <c r="H180" s="85">
        <v>17500</v>
      </c>
    </row>
    <row r="181" spans="1:8" x14ac:dyDescent="0.2">
      <c r="A181" t="s">
        <v>147</v>
      </c>
      <c r="B181" s="180">
        <v>45013</v>
      </c>
      <c r="C181" s="181">
        <v>0.5395833333333333</v>
      </c>
      <c r="D181" s="179">
        <v>501</v>
      </c>
      <c r="E181" s="179">
        <v>502</v>
      </c>
      <c r="F181" s="179">
        <v>501</v>
      </c>
      <c r="G181" s="179">
        <v>502</v>
      </c>
      <c r="H181" s="85">
        <v>21400</v>
      </c>
    </row>
    <row r="182" spans="1:8" x14ac:dyDescent="0.2">
      <c r="A182" t="s">
        <v>147</v>
      </c>
      <c r="B182" s="180">
        <v>45013</v>
      </c>
      <c r="C182" s="181">
        <v>0.54027777777777775</v>
      </c>
      <c r="D182" s="179">
        <v>503</v>
      </c>
      <c r="E182" s="179">
        <v>503</v>
      </c>
      <c r="F182" s="179">
        <v>503</v>
      </c>
      <c r="G182" s="179">
        <v>503</v>
      </c>
      <c r="H182" s="85">
        <v>21000</v>
      </c>
    </row>
    <row r="183" spans="1:8" x14ac:dyDescent="0.2">
      <c r="A183" t="s">
        <v>147</v>
      </c>
      <c r="B183" s="180">
        <v>45013</v>
      </c>
      <c r="C183" s="181">
        <v>0.54097222222222219</v>
      </c>
      <c r="D183" s="179">
        <v>503</v>
      </c>
      <c r="E183" s="179">
        <v>504</v>
      </c>
      <c r="F183" s="179">
        <v>503</v>
      </c>
      <c r="G183" s="179">
        <v>504</v>
      </c>
      <c r="H183" s="85">
        <v>6600</v>
      </c>
    </row>
    <row r="184" spans="1:8" x14ac:dyDescent="0.2">
      <c r="A184" t="s">
        <v>147</v>
      </c>
      <c r="B184" s="180">
        <v>45013</v>
      </c>
      <c r="C184" s="181">
        <v>0.54166666666666663</v>
      </c>
      <c r="D184" s="179">
        <v>504</v>
      </c>
      <c r="E184" s="179">
        <v>504</v>
      </c>
      <c r="F184" s="179">
        <v>503</v>
      </c>
      <c r="G184" s="179">
        <v>504</v>
      </c>
      <c r="H184" s="85">
        <v>8100</v>
      </c>
    </row>
    <row r="185" spans="1:8" x14ac:dyDescent="0.2">
      <c r="A185" t="s">
        <v>147</v>
      </c>
      <c r="B185" s="180">
        <v>45013</v>
      </c>
      <c r="C185" s="181">
        <v>0.54236111111111118</v>
      </c>
      <c r="D185" s="179">
        <v>504</v>
      </c>
      <c r="E185" s="179">
        <v>504</v>
      </c>
      <c r="F185" s="179">
        <v>503</v>
      </c>
      <c r="G185" s="179">
        <v>503</v>
      </c>
      <c r="H185" s="85">
        <v>49100</v>
      </c>
    </row>
    <row r="186" spans="1:8" x14ac:dyDescent="0.2">
      <c r="A186" t="s">
        <v>147</v>
      </c>
      <c r="B186" s="180">
        <v>45013</v>
      </c>
      <c r="C186" s="181">
        <v>0.54305555555555551</v>
      </c>
      <c r="D186" s="179">
        <v>503</v>
      </c>
      <c r="E186" s="179">
        <v>503</v>
      </c>
      <c r="F186" s="179">
        <v>502</v>
      </c>
      <c r="G186" s="179">
        <v>502</v>
      </c>
      <c r="H186" s="85">
        <v>31700</v>
      </c>
    </row>
    <row r="187" spans="1:8" x14ac:dyDescent="0.2">
      <c r="A187" t="s">
        <v>147</v>
      </c>
      <c r="B187" s="180">
        <v>45013</v>
      </c>
      <c r="C187" s="181">
        <v>0.54375000000000007</v>
      </c>
      <c r="D187" s="179">
        <v>502</v>
      </c>
      <c r="E187" s="179">
        <v>502</v>
      </c>
      <c r="F187" s="179">
        <v>501</v>
      </c>
      <c r="G187" s="179">
        <v>501</v>
      </c>
      <c r="H187" s="85">
        <v>21800</v>
      </c>
    </row>
    <row r="188" spans="1:8" x14ac:dyDescent="0.2">
      <c r="A188" t="s">
        <v>147</v>
      </c>
      <c r="B188" s="180">
        <v>45013</v>
      </c>
      <c r="C188" s="181">
        <v>0.5444444444444444</v>
      </c>
      <c r="D188" s="179">
        <v>501</v>
      </c>
      <c r="E188" s="179">
        <v>501</v>
      </c>
      <c r="F188" s="179">
        <v>501</v>
      </c>
      <c r="G188" s="179">
        <v>501</v>
      </c>
      <c r="H188" s="85">
        <v>1500</v>
      </c>
    </row>
    <row r="189" spans="1:8" x14ac:dyDescent="0.2">
      <c r="A189" t="s">
        <v>147</v>
      </c>
      <c r="B189" s="180">
        <v>45013</v>
      </c>
      <c r="C189" s="181">
        <v>0.54513888888888895</v>
      </c>
      <c r="D189" s="179">
        <v>501</v>
      </c>
      <c r="E189" s="179">
        <v>502</v>
      </c>
      <c r="F189" s="179">
        <v>501</v>
      </c>
      <c r="G189" s="179">
        <v>502</v>
      </c>
      <c r="H189" s="85">
        <v>1100</v>
      </c>
    </row>
    <row r="190" spans="1:8" x14ac:dyDescent="0.2">
      <c r="A190" t="s">
        <v>147</v>
      </c>
      <c r="B190" s="180">
        <v>45013</v>
      </c>
      <c r="C190" s="181">
        <v>0.54583333333333328</v>
      </c>
      <c r="D190" s="179">
        <v>502</v>
      </c>
      <c r="E190" s="179">
        <v>502</v>
      </c>
      <c r="F190" s="179">
        <v>502</v>
      </c>
      <c r="G190" s="179">
        <v>502</v>
      </c>
      <c r="H190" s="85">
        <v>0</v>
      </c>
    </row>
    <row r="191" spans="1:8" x14ac:dyDescent="0.2">
      <c r="A191" t="s">
        <v>147</v>
      </c>
      <c r="B191" s="180">
        <v>45013</v>
      </c>
      <c r="C191" s="181">
        <v>0.54652777777777783</v>
      </c>
      <c r="D191" s="179">
        <v>502</v>
      </c>
      <c r="E191" s="179">
        <v>502</v>
      </c>
      <c r="F191" s="179">
        <v>501</v>
      </c>
      <c r="G191" s="179">
        <v>501</v>
      </c>
      <c r="H191" s="85">
        <v>2000</v>
      </c>
    </row>
    <row r="192" spans="1:8" x14ac:dyDescent="0.2">
      <c r="A192" t="s">
        <v>147</v>
      </c>
      <c r="B192" s="180">
        <v>45013</v>
      </c>
      <c r="C192" s="181">
        <v>0.54722222222222217</v>
      </c>
      <c r="D192" s="179">
        <v>501</v>
      </c>
      <c r="E192" s="179">
        <v>502</v>
      </c>
      <c r="F192" s="179">
        <v>501</v>
      </c>
      <c r="G192" s="179">
        <v>501</v>
      </c>
      <c r="H192" s="85">
        <v>2200</v>
      </c>
    </row>
    <row r="193" spans="1:8" x14ac:dyDescent="0.2">
      <c r="A193" t="s">
        <v>147</v>
      </c>
      <c r="B193" s="180">
        <v>45013</v>
      </c>
      <c r="C193" s="181">
        <v>0.54791666666666672</v>
      </c>
      <c r="D193" s="179">
        <v>502</v>
      </c>
      <c r="E193" s="179">
        <v>502</v>
      </c>
      <c r="F193" s="179">
        <v>501</v>
      </c>
      <c r="G193" s="179">
        <v>501</v>
      </c>
      <c r="H193" s="85">
        <v>35300</v>
      </c>
    </row>
    <row r="194" spans="1:8" x14ac:dyDescent="0.2">
      <c r="A194" t="s">
        <v>147</v>
      </c>
      <c r="B194" s="180">
        <v>45013</v>
      </c>
      <c r="C194" s="181">
        <v>0.54861111111111105</v>
      </c>
      <c r="D194" s="179">
        <v>501</v>
      </c>
      <c r="E194" s="179">
        <v>502</v>
      </c>
      <c r="F194" s="179">
        <v>500</v>
      </c>
      <c r="G194" s="179">
        <v>500</v>
      </c>
      <c r="H194" s="85">
        <v>5300</v>
      </c>
    </row>
    <row r="195" spans="1:8" x14ac:dyDescent="0.2">
      <c r="A195" t="s">
        <v>147</v>
      </c>
      <c r="B195" s="180">
        <v>45013</v>
      </c>
      <c r="C195" s="181">
        <v>0.5493055555555556</v>
      </c>
      <c r="D195" s="179">
        <v>501</v>
      </c>
      <c r="E195" s="179">
        <v>501</v>
      </c>
      <c r="F195" s="179">
        <v>500</v>
      </c>
      <c r="G195" s="179">
        <v>500</v>
      </c>
      <c r="H195" s="85">
        <v>400</v>
      </c>
    </row>
    <row r="196" spans="1:8" x14ac:dyDescent="0.2">
      <c r="A196" t="s">
        <v>147</v>
      </c>
      <c r="B196" s="180">
        <v>45013</v>
      </c>
      <c r="C196" s="181">
        <v>0.54999999999999993</v>
      </c>
      <c r="D196" s="179">
        <v>500</v>
      </c>
      <c r="E196" s="179">
        <v>501</v>
      </c>
      <c r="F196" s="179">
        <v>498</v>
      </c>
      <c r="G196" s="179">
        <v>500</v>
      </c>
      <c r="H196" s="85">
        <v>126300</v>
      </c>
    </row>
    <row r="197" spans="1:8" x14ac:dyDescent="0.2">
      <c r="A197" t="s">
        <v>147</v>
      </c>
      <c r="B197" s="180">
        <v>45013</v>
      </c>
      <c r="C197" s="181">
        <v>0.55069444444444449</v>
      </c>
      <c r="D197" s="179">
        <v>500</v>
      </c>
      <c r="E197" s="179">
        <v>500</v>
      </c>
      <c r="F197" s="179">
        <v>499</v>
      </c>
      <c r="G197" s="179">
        <v>500</v>
      </c>
      <c r="H197" s="85">
        <v>6400</v>
      </c>
    </row>
    <row r="198" spans="1:8" x14ac:dyDescent="0.2">
      <c r="A198" t="s">
        <v>147</v>
      </c>
      <c r="B198" s="180">
        <v>45013</v>
      </c>
      <c r="C198" s="181">
        <v>0.55138888888888882</v>
      </c>
      <c r="D198" s="179">
        <v>500</v>
      </c>
      <c r="E198" s="179">
        <v>500</v>
      </c>
      <c r="F198" s="179">
        <v>499</v>
      </c>
      <c r="G198" s="179">
        <v>500</v>
      </c>
      <c r="H198" s="85">
        <v>6900</v>
      </c>
    </row>
    <row r="199" spans="1:8" x14ac:dyDescent="0.2">
      <c r="A199" t="s">
        <v>147</v>
      </c>
      <c r="B199" s="180">
        <v>45013</v>
      </c>
      <c r="C199" s="181">
        <v>0.55208333333333337</v>
      </c>
      <c r="D199" s="179">
        <v>500</v>
      </c>
      <c r="E199" s="179">
        <v>500</v>
      </c>
      <c r="F199" s="179">
        <v>500</v>
      </c>
      <c r="G199" s="179">
        <v>500</v>
      </c>
      <c r="H199" s="85">
        <v>1800</v>
      </c>
    </row>
    <row r="200" spans="1:8" x14ac:dyDescent="0.2">
      <c r="A200" t="s">
        <v>147</v>
      </c>
      <c r="B200" s="180">
        <v>45013</v>
      </c>
      <c r="C200" s="181">
        <v>0.55277777777777781</v>
      </c>
      <c r="D200" s="179">
        <v>500</v>
      </c>
      <c r="E200" s="179">
        <v>500</v>
      </c>
      <c r="F200" s="179">
        <v>499</v>
      </c>
      <c r="G200" s="179">
        <v>499</v>
      </c>
      <c r="H200" s="85">
        <v>600</v>
      </c>
    </row>
    <row r="201" spans="1:8" x14ac:dyDescent="0.2">
      <c r="A201" t="s">
        <v>147</v>
      </c>
      <c r="B201" s="180">
        <v>45013</v>
      </c>
      <c r="C201" s="181">
        <v>0.55347222222222225</v>
      </c>
      <c r="D201" s="179">
        <v>500</v>
      </c>
      <c r="E201" s="179">
        <v>501</v>
      </c>
      <c r="F201" s="179">
        <v>500</v>
      </c>
      <c r="G201" s="179">
        <v>500</v>
      </c>
      <c r="H201" s="85">
        <v>14500</v>
      </c>
    </row>
    <row r="202" spans="1:8" x14ac:dyDescent="0.2">
      <c r="A202" t="s">
        <v>147</v>
      </c>
      <c r="B202" s="180">
        <v>45013</v>
      </c>
      <c r="C202" s="181">
        <v>0.5541666666666667</v>
      </c>
      <c r="D202" s="179">
        <v>500</v>
      </c>
      <c r="E202" s="179">
        <v>500</v>
      </c>
      <c r="F202" s="179">
        <v>500</v>
      </c>
      <c r="G202" s="179">
        <v>500</v>
      </c>
      <c r="H202" s="85">
        <v>5600</v>
      </c>
    </row>
    <row r="203" spans="1:8" x14ac:dyDescent="0.2">
      <c r="A203" t="s">
        <v>147</v>
      </c>
      <c r="B203" s="180">
        <v>45013</v>
      </c>
      <c r="C203" s="181">
        <v>0.55486111111111114</v>
      </c>
      <c r="D203" s="179">
        <v>500</v>
      </c>
      <c r="E203" s="179">
        <v>500</v>
      </c>
      <c r="F203" s="179">
        <v>500</v>
      </c>
      <c r="G203" s="179">
        <v>500</v>
      </c>
      <c r="H203" s="85">
        <v>15900</v>
      </c>
    </row>
    <row r="204" spans="1:8" x14ac:dyDescent="0.2">
      <c r="A204" t="s">
        <v>147</v>
      </c>
      <c r="B204" s="180">
        <v>45013</v>
      </c>
      <c r="C204" s="181">
        <v>0.55555555555555558</v>
      </c>
      <c r="D204" s="179">
        <v>500</v>
      </c>
      <c r="E204" s="179">
        <v>500</v>
      </c>
      <c r="F204" s="179">
        <v>499</v>
      </c>
      <c r="G204" s="179">
        <v>500</v>
      </c>
      <c r="H204" s="85">
        <v>6000</v>
      </c>
    </row>
    <row r="205" spans="1:8" x14ac:dyDescent="0.2">
      <c r="A205" t="s">
        <v>147</v>
      </c>
      <c r="B205" s="180">
        <v>45013</v>
      </c>
      <c r="C205" s="181">
        <v>0.55625000000000002</v>
      </c>
      <c r="D205" s="179">
        <v>500</v>
      </c>
      <c r="E205" s="179">
        <v>500</v>
      </c>
      <c r="F205" s="179">
        <v>500</v>
      </c>
      <c r="G205" s="179">
        <v>500</v>
      </c>
      <c r="H205" s="85">
        <v>1500</v>
      </c>
    </row>
    <row r="206" spans="1:8" x14ac:dyDescent="0.2">
      <c r="A206" t="s">
        <v>147</v>
      </c>
      <c r="B206" s="180">
        <v>45013</v>
      </c>
      <c r="C206" s="181">
        <v>0.55694444444444446</v>
      </c>
      <c r="D206" s="179">
        <v>500</v>
      </c>
      <c r="E206" s="179">
        <v>500</v>
      </c>
      <c r="F206" s="179">
        <v>499</v>
      </c>
      <c r="G206" s="179">
        <v>499</v>
      </c>
      <c r="H206" s="85">
        <v>3200</v>
      </c>
    </row>
    <row r="207" spans="1:8" x14ac:dyDescent="0.2">
      <c r="A207" t="s">
        <v>147</v>
      </c>
      <c r="B207" s="180">
        <v>45013</v>
      </c>
      <c r="C207" s="181">
        <v>0.55763888888888891</v>
      </c>
      <c r="D207" s="179">
        <v>500</v>
      </c>
      <c r="E207" s="179">
        <v>500</v>
      </c>
      <c r="F207" s="179">
        <v>499</v>
      </c>
      <c r="G207" s="179">
        <v>500</v>
      </c>
      <c r="H207" s="85">
        <v>7700</v>
      </c>
    </row>
    <row r="208" spans="1:8" x14ac:dyDescent="0.2">
      <c r="A208" t="s">
        <v>147</v>
      </c>
      <c r="B208" s="180">
        <v>45013</v>
      </c>
      <c r="C208" s="181">
        <v>0.55833333333333335</v>
      </c>
      <c r="D208" s="179">
        <v>501</v>
      </c>
      <c r="E208" s="179">
        <v>501</v>
      </c>
      <c r="F208" s="179">
        <v>501</v>
      </c>
      <c r="G208" s="179">
        <v>501</v>
      </c>
      <c r="H208" s="85">
        <v>15900</v>
      </c>
    </row>
    <row r="209" spans="1:8" x14ac:dyDescent="0.2">
      <c r="A209" t="s">
        <v>147</v>
      </c>
      <c r="B209" s="180">
        <v>45013</v>
      </c>
      <c r="C209" s="181">
        <v>0.55902777777777779</v>
      </c>
      <c r="D209" s="179">
        <v>501</v>
      </c>
      <c r="E209" s="179">
        <v>501</v>
      </c>
      <c r="F209" s="179">
        <v>499</v>
      </c>
      <c r="G209" s="179">
        <v>499</v>
      </c>
      <c r="H209" s="85">
        <v>26700</v>
      </c>
    </row>
    <row r="210" spans="1:8" x14ac:dyDescent="0.2">
      <c r="A210" t="s">
        <v>147</v>
      </c>
      <c r="B210" s="180">
        <v>45013</v>
      </c>
      <c r="C210" s="181">
        <v>0.55972222222222223</v>
      </c>
      <c r="D210" s="179">
        <v>499</v>
      </c>
      <c r="E210" s="179">
        <v>500</v>
      </c>
      <c r="F210" s="179">
        <v>499</v>
      </c>
      <c r="G210" s="179">
        <v>500</v>
      </c>
      <c r="H210" s="85">
        <v>1400</v>
      </c>
    </row>
    <row r="211" spans="1:8" x14ac:dyDescent="0.2">
      <c r="A211" t="s">
        <v>147</v>
      </c>
      <c r="B211" s="180">
        <v>45013</v>
      </c>
      <c r="C211" s="181">
        <v>0.56041666666666667</v>
      </c>
      <c r="D211" s="179">
        <v>500</v>
      </c>
      <c r="E211" s="179">
        <v>501</v>
      </c>
      <c r="F211" s="179">
        <v>500</v>
      </c>
      <c r="G211" s="179">
        <v>501</v>
      </c>
      <c r="H211" s="85">
        <v>19800</v>
      </c>
    </row>
    <row r="212" spans="1:8" x14ac:dyDescent="0.2">
      <c r="A212" t="s">
        <v>147</v>
      </c>
      <c r="B212" s="180">
        <v>45013</v>
      </c>
      <c r="C212" s="181">
        <v>0.56111111111111112</v>
      </c>
      <c r="D212" s="179">
        <v>501</v>
      </c>
      <c r="E212" s="179">
        <v>502</v>
      </c>
      <c r="F212" s="179">
        <v>501</v>
      </c>
      <c r="G212" s="179">
        <v>502</v>
      </c>
      <c r="H212" s="85">
        <v>16300</v>
      </c>
    </row>
    <row r="213" spans="1:8" x14ac:dyDescent="0.2">
      <c r="A213" t="s">
        <v>147</v>
      </c>
      <c r="B213" s="180">
        <v>45013</v>
      </c>
      <c r="C213" s="181">
        <v>0.56180555555555556</v>
      </c>
      <c r="D213" s="179">
        <v>502</v>
      </c>
      <c r="E213" s="179">
        <v>502</v>
      </c>
      <c r="F213" s="179">
        <v>501</v>
      </c>
      <c r="G213" s="179">
        <v>501</v>
      </c>
      <c r="H213" s="85">
        <v>21000</v>
      </c>
    </row>
    <row r="214" spans="1:8" x14ac:dyDescent="0.2">
      <c r="A214" t="s">
        <v>147</v>
      </c>
      <c r="B214" s="180">
        <v>45013</v>
      </c>
      <c r="C214" s="181">
        <v>0.5625</v>
      </c>
      <c r="D214" s="179">
        <v>501</v>
      </c>
      <c r="E214" s="179">
        <v>501</v>
      </c>
      <c r="F214" s="179">
        <v>500</v>
      </c>
      <c r="G214" s="179">
        <v>500</v>
      </c>
      <c r="H214" s="85">
        <v>2400</v>
      </c>
    </row>
    <row r="215" spans="1:8" x14ac:dyDescent="0.2">
      <c r="A215" t="s">
        <v>147</v>
      </c>
      <c r="B215" s="180">
        <v>45013</v>
      </c>
      <c r="C215" s="181">
        <v>0.56319444444444444</v>
      </c>
      <c r="D215" s="179">
        <v>501</v>
      </c>
      <c r="E215" s="179">
        <v>502</v>
      </c>
      <c r="F215" s="179">
        <v>501</v>
      </c>
      <c r="G215" s="179">
        <v>501</v>
      </c>
      <c r="H215" s="85">
        <v>3300</v>
      </c>
    </row>
    <row r="216" spans="1:8" x14ac:dyDescent="0.2">
      <c r="A216" t="s">
        <v>147</v>
      </c>
      <c r="B216" s="180">
        <v>45013</v>
      </c>
      <c r="C216" s="181">
        <v>0.56388888888888888</v>
      </c>
      <c r="D216" s="179">
        <v>501</v>
      </c>
      <c r="E216" s="179">
        <v>501</v>
      </c>
      <c r="F216" s="179">
        <v>500</v>
      </c>
      <c r="G216" s="179">
        <v>501</v>
      </c>
      <c r="H216" s="85">
        <v>4200</v>
      </c>
    </row>
    <row r="217" spans="1:8" x14ac:dyDescent="0.2">
      <c r="A217" t="s">
        <v>147</v>
      </c>
      <c r="B217" s="180">
        <v>45013</v>
      </c>
      <c r="C217" s="181">
        <v>0.56458333333333333</v>
      </c>
      <c r="D217" s="179">
        <v>501</v>
      </c>
      <c r="E217" s="179">
        <v>501</v>
      </c>
      <c r="F217" s="179">
        <v>501</v>
      </c>
      <c r="G217" s="179">
        <v>501</v>
      </c>
      <c r="H217" s="85">
        <v>300</v>
      </c>
    </row>
    <row r="218" spans="1:8" x14ac:dyDescent="0.2">
      <c r="A218" t="s">
        <v>147</v>
      </c>
      <c r="B218" s="180">
        <v>45013</v>
      </c>
      <c r="C218" s="181">
        <v>0.56527777777777777</v>
      </c>
      <c r="D218" s="179">
        <v>501</v>
      </c>
      <c r="E218" s="179">
        <v>501</v>
      </c>
      <c r="F218" s="179">
        <v>500</v>
      </c>
      <c r="G218" s="179">
        <v>501</v>
      </c>
      <c r="H218" s="85">
        <v>1000</v>
      </c>
    </row>
    <row r="219" spans="1:8" x14ac:dyDescent="0.2">
      <c r="A219" t="s">
        <v>147</v>
      </c>
      <c r="B219" s="180">
        <v>45013</v>
      </c>
      <c r="C219" s="181">
        <v>0.56597222222222221</v>
      </c>
      <c r="D219" s="179">
        <v>500</v>
      </c>
      <c r="E219" s="179">
        <v>501</v>
      </c>
      <c r="F219" s="179">
        <v>500</v>
      </c>
      <c r="G219" s="179">
        <v>501</v>
      </c>
      <c r="H219" s="85">
        <v>3000</v>
      </c>
    </row>
    <row r="220" spans="1:8" x14ac:dyDescent="0.2">
      <c r="A220" t="s">
        <v>147</v>
      </c>
      <c r="B220" s="180">
        <v>45013</v>
      </c>
      <c r="C220" s="181">
        <v>0.56666666666666665</v>
      </c>
      <c r="D220" s="179">
        <v>501</v>
      </c>
      <c r="E220" s="179">
        <v>501</v>
      </c>
      <c r="F220" s="179">
        <v>501</v>
      </c>
      <c r="G220" s="179">
        <v>501</v>
      </c>
      <c r="H220" s="85">
        <v>700</v>
      </c>
    </row>
    <row r="221" spans="1:8" x14ac:dyDescent="0.2">
      <c r="A221" t="s">
        <v>147</v>
      </c>
      <c r="B221" s="180">
        <v>45013</v>
      </c>
      <c r="C221" s="181">
        <v>0.56736111111111109</v>
      </c>
      <c r="D221" s="179">
        <v>501</v>
      </c>
      <c r="E221" s="179">
        <v>501</v>
      </c>
      <c r="F221" s="179">
        <v>501</v>
      </c>
      <c r="G221" s="179">
        <v>501</v>
      </c>
      <c r="H221" s="85">
        <v>2700</v>
      </c>
    </row>
    <row r="222" spans="1:8" x14ac:dyDescent="0.2">
      <c r="A222" t="s">
        <v>147</v>
      </c>
      <c r="B222" s="180">
        <v>45013</v>
      </c>
      <c r="C222" s="181">
        <v>0.56805555555555554</v>
      </c>
      <c r="D222" s="179">
        <v>501</v>
      </c>
      <c r="E222" s="179">
        <v>501</v>
      </c>
      <c r="F222" s="179">
        <v>501</v>
      </c>
      <c r="G222" s="179">
        <v>501</v>
      </c>
      <c r="H222" s="85">
        <v>3100</v>
      </c>
    </row>
    <row r="223" spans="1:8" x14ac:dyDescent="0.2">
      <c r="A223" t="s">
        <v>147</v>
      </c>
      <c r="B223" s="180">
        <v>45013</v>
      </c>
      <c r="C223" s="181">
        <v>0.56874999999999998</v>
      </c>
      <c r="D223" s="179">
        <v>501</v>
      </c>
      <c r="E223" s="179">
        <v>502</v>
      </c>
      <c r="F223" s="179">
        <v>500</v>
      </c>
      <c r="G223" s="179">
        <v>502</v>
      </c>
      <c r="H223" s="85">
        <v>9800</v>
      </c>
    </row>
    <row r="224" spans="1:8" x14ac:dyDescent="0.2">
      <c r="A224" t="s">
        <v>147</v>
      </c>
      <c r="B224" s="180">
        <v>45013</v>
      </c>
      <c r="C224" s="181">
        <v>0.56944444444444442</v>
      </c>
      <c r="D224" s="179">
        <v>502</v>
      </c>
      <c r="E224" s="179">
        <v>502</v>
      </c>
      <c r="F224" s="179">
        <v>502</v>
      </c>
      <c r="G224" s="179">
        <v>502</v>
      </c>
      <c r="H224" s="85">
        <v>1000</v>
      </c>
    </row>
    <row r="225" spans="1:8" x14ac:dyDescent="0.2">
      <c r="A225" t="s">
        <v>147</v>
      </c>
      <c r="B225" s="180">
        <v>45013</v>
      </c>
      <c r="C225" s="181">
        <v>0.57013888888888886</v>
      </c>
      <c r="D225" s="179">
        <v>502</v>
      </c>
      <c r="E225" s="179">
        <v>503</v>
      </c>
      <c r="F225" s="179">
        <v>502</v>
      </c>
      <c r="G225" s="179">
        <v>503</v>
      </c>
      <c r="H225" s="85">
        <v>14000</v>
      </c>
    </row>
    <row r="226" spans="1:8" x14ac:dyDescent="0.2">
      <c r="A226" t="s">
        <v>147</v>
      </c>
      <c r="B226" s="180">
        <v>45013</v>
      </c>
      <c r="C226" s="181">
        <v>0.5708333333333333</v>
      </c>
      <c r="D226" s="179">
        <v>503</v>
      </c>
      <c r="E226" s="179">
        <v>503</v>
      </c>
      <c r="F226" s="179">
        <v>503</v>
      </c>
      <c r="G226" s="179">
        <v>503</v>
      </c>
      <c r="H226" s="85">
        <v>15500</v>
      </c>
    </row>
    <row r="227" spans="1:8" x14ac:dyDescent="0.2">
      <c r="A227" t="s">
        <v>147</v>
      </c>
      <c r="B227" s="180">
        <v>45013</v>
      </c>
      <c r="C227" s="181">
        <v>0.57152777777777775</v>
      </c>
      <c r="D227" s="179">
        <v>503</v>
      </c>
      <c r="E227" s="179">
        <v>503</v>
      </c>
      <c r="F227" s="179">
        <v>503</v>
      </c>
      <c r="G227" s="179">
        <v>503</v>
      </c>
      <c r="H227" s="85">
        <v>0</v>
      </c>
    </row>
    <row r="228" spans="1:8" x14ac:dyDescent="0.2">
      <c r="A228" t="s">
        <v>147</v>
      </c>
      <c r="B228" s="180">
        <v>45013</v>
      </c>
      <c r="C228" s="181">
        <v>0.57222222222222219</v>
      </c>
      <c r="D228" s="179">
        <v>503</v>
      </c>
      <c r="E228" s="179">
        <v>503</v>
      </c>
      <c r="F228" s="179">
        <v>503</v>
      </c>
      <c r="G228" s="179">
        <v>503</v>
      </c>
      <c r="H228" s="85">
        <v>200</v>
      </c>
    </row>
    <row r="229" spans="1:8" x14ac:dyDescent="0.2">
      <c r="A229" t="s">
        <v>147</v>
      </c>
      <c r="B229" s="180">
        <v>45013</v>
      </c>
      <c r="C229" s="181">
        <v>0.57291666666666663</v>
      </c>
      <c r="D229" s="179">
        <v>503</v>
      </c>
      <c r="E229" s="179">
        <v>503</v>
      </c>
      <c r="F229" s="179">
        <v>503</v>
      </c>
      <c r="G229" s="179">
        <v>503</v>
      </c>
      <c r="H229" s="85">
        <v>600</v>
      </c>
    </row>
    <row r="230" spans="1:8" x14ac:dyDescent="0.2">
      <c r="A230" t="s">
        <v>147</v>
      </c>
      <c r="B230" s="180">
        <v>45013</v>
      </c>
      <c r="C230" s="181">
        <v>0.57361111111111118</v>
      </c>
      <c r="D230" s="179">
        <v>503</v>
      </c>
      <c r="E230" s="179">
        <v>503</v>
      </c>
      <c r="F230" s="179">
        <v>502</v>
      </c>
      <c r="G230" s="179">
        <v>503</v>
      </c>
      <c r="H230" s="85">
        <v>5400</v>
      </c>
    </row>
    <row r="231" spans="1:8" x14ac:dyDescent="0.2">
      <c r="A231" t="s">
        <v>147</v>
      </c>
      <c r="B231" s="180">
        <v>45013</v>
      </c>
      <c r="C231" s="181">
        <v>0.57430555555555551</v>
      </c>
      <c r="D231" s="179">
        <v>503</v>
      </c>
      <c r="E231" s="179">
        <v>503</v>
      </c>
      <c r="F231" s="179">
        <v>503</v>
      </c>
      <c r="G231" s="179">
        <v>503</v>
      </c>
      <c r="H231" s="85">
        <v>800</v>
      </c>
    </row>
    <row r="232" spans="1:8" x14ac:dyDescent="0.2">
      <c r="A232" t="s">
        <v>147</v>
      </c>
      <c r="B232" s="180">
        <v>45013</v>
      </c>
      <c r="C232" s="181">
        <v>0.57500000000000007</v>
      </c>
      <c r="D232" s="179">
        <v>503</v>
      </c>
      <c r="E232" s="179">
        <v>503</v>
      </c>
      <c r="F232" s="179">
        <v>503</v>
      </c>
      <c r="G232" s="179">
        <v>503</v>
      </c>
      <c r="H232" s="85">
        <v>14600</v>
      </c>
    </row>
    <row r="233" spans="1:8" x14ac:dyDescent="0.2">
      <c r="A233" t="s">
        <v>147</v>
      </c>
      <c r="B233" s="180">
        <v>45013</v>
      </c>
      <c r="C233" s="181">
        <v>0.5756944444444444</v>
      </c>
      <c r="D233" s="179">
        <v>503</v>
      </c>
      <c r="E233" s="179">
        <v>503</v>
      </c>
      <c r="F233" s="179">
        <v>503</v>
      </c>
      <c r="G233" s="179">
        <v>503</v>
      </c>
      <c r="H233" s="85">
        <v>0</v>
      </c>
    </row>
    <row r="234" spans="1:8" x14ac:dyDescent="0.2">
      <c r="A234" t="s">
        <v>147</v>
      </c>
      <c r="B234" s="180">
        <v>45013</v>
      </c>
      <c r="C234" s="181">
        <v>0.57638888888888895</v>
      </c>
      <c r="D234" s="179">
        <v>503</v>
      </c>
      <c r="E234" s="179">
        <v>504</v>
      </c>
      <c r="F234" s="179">
        <v>503</v>
      </c>
      <c r="G234" s="179">
        <v>504</v>
      </c>
      <c r="H234" s="85">
        <v>23100</v>
      </c>
    </row>
    <row r="235" spans="1:8" x14ac:dyDescent="0.2">
      <c r="A235" t="s">
        <v>147</v>
      </c>
      <c r="B235" s="180">
        <v>45013</v>
      </c>
      <c r="C235" s="181">
        <v>0.57708333333333328</v>
      </c>
      <c r="D235" s="179">
        <v>504</v>
      </c>
      <c r="E235" s="179">
        <v>504</v>
      </c>
      <c r="F235" s="179">
        <v>503</v>
      </c>
      <c r="G235" s="179">
        <v>503</v>
      </c>
      <c r="H235" s="85">
        <v>3900</v>
      </c>
    </row>
    <row r="236" spans="1:8" x14ac:dyDescent="0.2">
      <c r="A236" t="s">
        <v>147</v>
      </c>
      <c r="B236" s="180">
        <v>45013</v>
      </c>
      <c r="C236" s="181">
        <v>0.57777777777777783</v>
      </c>
      <c r="D236" s="179">
        <v>503</v>
      </c>
      <c r="E236" s="179">
        <v>505</v>
      </c>
      <c r="F236" s="179">
        <v>503</v>
      </c>
      <c r="G236" s="179">
        <v>504</v>
      </c>
      <c r="H236" s="85">
        <v>11000</v>
      </c>
    </row>
    <row r="237" spans="1:8" x14ac:dyDescent="0.2">
      <c r="A237" t="s">
        <v>147</v>
      </c>
      <c r="B237" s="180">
        <v>45013</v>
      </c>
      <c r="C237" s="181">
        <v>0.57847222222222217</v>
      </c>
      <c r="D237" s="179">
        <v>505</v>
      </c>
      <c r="E237" s="179">
        <v>505</v>
      </c>
      <c r="F237" s="179">
        <v>503</v>
      </c>
      <c r="G237" s="179">
        <v>503</v>
      </c>
      <c r="H237" s="85">
        <v>22000</v>
      </c>
    </row>
    <row r="238" spans="1:8" x14ac:dyDescent="0.2">
      <c r="A238" t="s">
        <v>147</v>
      </c>
      <c r="B238" s="180">
        <v>45013</v>
      </c>
      <c r="C238" s="181">
        <v>0.57916666666666672</v>
      </c>
      <c r="D238" s="179">
        <v>503</v>
      </c>
      <c r="E238" s="179">
        <v>503</v>
      </c>
      <c r="F238" s="179">
        <v>503</v>
      </c>
      <c r="G238" s="179">
        <v>503</v>
      </c>
      <c r="H238" s="85">
        <v>0</v>
      </c>
    </row>
    <row r="239" spans="1:8" x14ac:dyDescent="0.2">
      <c r="A239" t="s">
        <v>147</v>
      </c>
      <c r="B239" s="180">
        <v>45013</v>
      </c>
      <c r="C239" s="181">
        <v>0.57986111111111105</v>
      </c>
      <c r="D239" s="179">
        <v>504</v>
      </c>
      <c r="E239" s="179">
        <v>504</v>
      </c>
      <c r="F239" s="179">
        <v>504</v>
      </c>
      <c r="G239" s="179">
        <v>504</v>
      </c>
      <c r="H239" s="85">
        <v>1800</v>
      </c>
    </row>
    <row r="240" spans="1:8" x14ac:dyDescent="0.2">
      <c r="A240" t="s">
        <v>147</v>
      </c>
      <c r="B240" s="180">
        <v>45013</v>
      </c>
      <c r="C240" s="181">
        <v>0.5805555555555556</v>
      </c>
      <c r="D240" s="179">
        <v>504</v>
      </c>
      <c r="E240" s="179">
        <v>504</v>
      </c>
      <c r="F240" s="179">
        <v>504</v>
      </c>
      <c r="G240" s="179">
        <v>504</v>
      </c>
      <c r="H240" s="85">
        <v>2500</v>
      </c>
    </row>
    <row r="241" spans="1:8" x14ac:dyDescent="0.2">
      <c r="A241" t="s">
        <v>147</v>
      </c>
      <c r="B241" s="180">
        <v>45013</v>
      </c>
      <c r="C241" s="181">
        <v>0.58124999999999993</v>
      </c>
      <c r="D241" s="179">
        <v>503</v>
      </c>
      <c r="E241" s="179">
        <v>503</v>
      </c>
      <c r="F241" s="179">
        <v>503</v>
      </c>
      <c r="G241" s="179">
        <v>503</v>
      </c>
      <c r="H241" s="85">
        <v>10000</v>
      </c>
    </row>
    <row r="242" spans="1:8" x14ac:dyDescent="0.2">
      <c r="A242" t="s">
        <v>147</v>
      </c>
      <c r="B242" s="180">
        <v>45013</v>
      </c>
      <c r="C242" s="181">
        <v>0.58194444444444449</v>
      </c>
      <c r="D242" s="179">
        <v>503</v>
      </c>
      <c r="E242" s="179">
        <v>503</v>
      </c>
      <c r="F242" s="179">
        <v>502</v>
      </c>
      <c r="G242" s="179">
        <v>503</v>
      </c>
      <c r="H242" s="85">
        <v>2200</v>
      </c>
    </row>
    <row r="243" spans="1:8" x14ac:dyDescent="0.2">
      <c r="A243" t="s">
        <v>147</v>
      </c>
      <c r="B243" s="180">
        <v>45013</v>
      </c>
      <c r="C243" s="181">
        <v>0.58263888888888882</v>
      </c>
      <c r="D243" s="179">
        <v>503</v>
      </c>
      <c r="E243" s="179">
        <v>504</v>
      </c>
      <c r="F243" s="179">
        <v>503</v>
      </c>
      <c r="G243" s="179">
        <v>504</v>
      </c>
      <c r="H243" s="85">
        <v>27300</v>
      </c>
    </row>
    <row r="244" spans="1:8" x14ac:dyDescent="0.2">
      <c r="A244" t="s">
        <v>147</v>
      </c>
      <c r="B244" s="180">
        <v>45013</v>
      </c>
      <c r="C244" s="181">
        <v>0.58333333333333337</v>
      </c>
      <c r="D244" s="179">
        <v>504</v>
      </c>
      <c r="E244" s="179">
        <v>504</v>
      </c>
      <c r="F244" s="179">
        <v>503</v>
      </c>
      <c r="G244" s="179">
        <v>503</v>
      </c>
      <c r="H244" s="85">
        <v>1000</v>
      </c>
    </row>
    <row r="245" spans="1:8" x14ac:dyDescent="0.2">
      <c r="A245" t="s">
        <v>147</v>
      </c>
      <c r="B245" s="180">
        <v>45013</v>
      </c>
      <c r="C245" s="181">
        <v>0.58402777777777781</v>
      </c>
      <c r="D245" s="179">
        <v>504</v>
      </c>
      <c r="E245" s="179">
        <v>505</v>
      </c>
      <c r="F245" s="179">
        <v>504</v>
      </c>
      <c r="G245" s="179">
        <v>504</v>
      </c>
      <c r="H245" s="85">
        <v>14900</v>
      </c>
    </row>
    <row r="246" spans="1:8" x14ac:dyDescent="0.2">
      <c r="A246" t="s">
        <v>147</v>
      </c>
      <c r="B246" s="180">
        <v>45013</v>
      </c>
      <c r="C246" s="181">
        <v>0.58472222222222225</v>
      </c>
      <c r="D246" s="179">
        <v>505</v>
      </c>
      <c r="E246" s="179">
        <v>505</v>
      </c>
      <c r="F246" s="179">
        <v>505</v>
      </c>
      <c r="G246" s="179">
        <v>505</v>
      </c>
      <c r="H246" s="85">
        <v>39700</v>
      </c>
    </row>
    <row r="247" spans="1:8" x14ac:dyDescent="0.2">
      <c r="A247" t="s">
        <v>147</v>
      </c>
      <c r="B247" s="180">
        <v>45013</v>
      </c>
      <c r="C247" s="181">
        <v>0.5854166666666667</v>
      </c>
      <c r="D247" s="179">
        <v>505</v>
      </c>
      <c r="E247" s="179">
        <v>505</v>
      </c>
      <c r="F247" s="179">
        <v>505</v>
      </c>
      <c r="G247" s="179">
        <v>505</v>
      </c>
      <c r="H247" s="85">
        <v>1300</v>
      </c>
    </row>
    <row r="248" spans="1:8" x14ac:dyDescent="0.2">
      <c r="A248" t="s">
        <v>147</v>
      </c>
      <c r="B248" s="180">
        <v>45013</v>
      </c>
      <c r="C248" s="181">
        <v>0.58611111111111114</v>
      </c>
      <c r="D248" s="179">
        <v>505</v>
      </c>
      <c r="E248" s="179">
        <v>505</v>
      </c>
      <c r="F248" s="179">
        <v>505</v>
      </c>
      <c r="G248" s="179">
        <v>505</v>
      </c>
      <c r="H248" s="85">
        <v>11700</v>
      </c>
    </row>
    <row r="249" spans="1:8" x14ac:dyDescent="0.2">
      <c r="A249" t="s">
        <v>147</v>
      </c>
      <c r="B249" s="180">
        <v>45013</v>
      </c>
      <c r="C249" s="181">
        <v>0.58680555555555558</v>
      </c>
      <c r="D249" s="179">
        <v>504</v>
      </c>
      <c r="E249" s="179">
        <v>504</v>
      </c>
      <c r="F249" s="179">
        <v>501</v>
      </c>
      <c r="G249" s="179">
        <v>501</v>
      </c>
      <c r="H249" s="85">
        <v>84100</v>
      </c>
    </row>
    <row r="250" spans="1:8" x14ac:dyDescent="0.2">
      <c r="A250" t="s">
        <v>147</v>
      </c>
      <c r="B250" s="180">
        <v>45013</v>
      </c>
      <c r="C250" s="181">
        <v>0.58750000000000002</v>
      </c>
      <c r="D250" s="179">
        <v>502</v>
      </c>
      <c r="E250" s="179">
        <v>503</v>
      </c>
      <c r="F250" s="179">
        <v>502</v>
      </c>
      <c r="G250" s="179">
        <v>503</v>
      </c>
      <c r="H250" s="85">
        <v>300</v>
      </c>
    </row>
    <row r="251" spans="1:8" x14ac:dyDescent="0.2">
      <c r="A251" t="s">
        <v>147</v>
      </c>
      <c r="B251" s="180">
        <v>45013</v>
      </c>
      <c r="C251" s="181">
        <v>0.58819444444444446</v>
      </c>
      <c r="D251" s="179">
        <v>503</v>
      </c>
      <c r="E251" s="179">
        <v>503</v>
      </c>
      <c r="F251" s="179">
        <v>503</v>
      </c>
      <c r="G251" s="179">
        <v>503</v>
      </c>
      <c r="H251" s="85">
        <v>1100</v>
      </c>
    </row>
    <row r="252" spans="1:8" x14ac:dyDescent="0.2">
      <c r="A252" t="s">
        <v>147</v>
      </c>
      <c r="B252" s="180">
        <v>45013</v>
      </c>
      <c r="C252" s="181">
        <v>0.58888888888888891</v>
      </c>
      <c r="D252" s="179">
        <v>503</v>
      </c>
      <c r="E252" s="179">
        <v>503</v>
      </c>
      <c r="F252" s="179">
        <v>502</v>
      </c>
      <c r="G252" s="179">
        <v>503</v>
      </c>
      <c r="H252" s="85">
        <v>2000</v>
      </c>
    </row>
    <row r="253" spans="1:8" x14ac:dyDescent="0.2">
      <c r="A253" t="s">
        <v>147</v>
      </c>
      <c r="B253" s="180">
        <v>45013</v>
      </c>
      <c r="C253" s="181">
        <v>0.58958333333333335</v>
      </c>
      <c r="D253" s="179">
        <v>503</v>
      </c>
      <c r="E253" s="179">
        <v>503</v>
      </c>
      <c r="F253" s="179">
        <v>502</v>
      </c>
      <c r="G253" s="179">
        <v>502</v>
      </c>
      <c r="H253" s="85">
        <v>15400</v>
      </c>
    </row>
    <row r="254" spans="1:8" x14ac:dyDescent="0.2">
      <c r="A254" t="s">
        <v>147</v>
      </c>
      <c r="B254" s="180">
        <v>45013</v>
      </c>
      <c r="C254" s="181">
        <v>0.59027777777777779</v>
      </c>
      <c r="D254" s="179">
        <v>502</v>
      </c>
      <c r="E254" s="179">
        <v>503</v>
      </c>
      <c r="F254" s="179">
        <v>502</v>
      </c>
      <c r="G254" s="179">
        <v>502</v>
      </c>
      <c r="H254" s="85">
        <v>12200</v>
      </c>
    </row>
    <row r="255" spans="1:8" x14ac:dyDescent="0.2">
      <c r="A255" t="s">
        <v>147</v>
      </c>
      <c r="B255" s="180">
        <v>45013</v>
      </c>
      <c r="C255" s="181">
        <v>0.59097222222222223</v>
      </c>
      <c r="D255" s="179">
        <v>502</v>
      </c>
      <c r="E255" s="179">
        <v>502</v>
      </c>
      <c r="F255" s="179">
        <v>501</v>
      </c>
      <c r="G255" s="179">
        <v>501</v>
      </c>
      <c r="H255" s="85">
        <v>2000</v>
      </c>
    </row>
    <row r="256" spans="1:8" x14ac:dyDescent="0.2">
      <c r="A256" t="s">
        <v>147</v>
      </c>
      <c r="B256" s="180">
        <v>45013</v>
      </c>
      <c r="C256" s="181">
        <v>0.59166666666666667</v>
      </c>
      <c r="D256" s="179">
        <v>502</v>
      </c>
      <c r="E256" s="179">
        <v>502</v>
      </c>
      <c r="F256" s="179">
        <v>501</v>
      </c>
      <c r="G256" s="179">
        <v>501</v>
      </c>
      <c r="H256" s="85">
        <v>2000</v>
      </c>
    </row>
    <row r="257" spans="1:8" x14ac:dyDescent="0.2">
      <c r="A257" t="s">
        <v>147</v>
      </c>
      <c r="B257" s="180">
        <v>45013</v>
      </c>
      <c r="C257" s="181">
        <v>0.59236111111111112</v>
      </c>
      <c r="D257" s="179">
        <v>502</v>
      </c>
      <c r="E257" s="179">
        <v>502</v>
      </c>
      <c r="F257" s="179">
        <v>502</v>
      </c>
      <c r="G257" s="179">
        <v>502</v>
      </c>
      <c r="H257" s="85">
        <v>15300</v>
      </c>
    </row>
    <row r="258" spans="1:8" x14ac:dyDescent="0.2">
      <c r="A258" t="s">
        <v>147</v>
      </c>
      <c r="B258" s="180">
        <v>45013</v>
      </c>
      <c r="C258" s="181">
        <v>0.59305555555555556</v>
      </c>
      <c r="D258" s="179">
        <v>502</v>
      </c>
      <c r="E258" s="179">
        <v>502</v>
      </c>
      <c r="F258" s="179">
        <v>502</v>
      </c>
      <c r="G258" s="179">
        <v>502</v>
      </c>
      <c r="H258" s="85">
        <v>1300</v>
      </c>
    </row>
    <row r="259" spans="1:8" x14ac:dyDescent="0.2">
      <c r="A259" t="s">
        <v>147</v>
      </c>
      <c r="B259" s="180">
        <v>45013</v>
      </c>
      <c r="C259" s="181">
        <v>0.59375</v>
      </c>
      <c r="D259" s="179">
        <v>501</v>
      </c>
      <c r="E259" s="179">
        <v>501</v>
      </c>
      <c r="F259" s="179">
        <v>501</v>
      </c>
      <c r="G259" s="179">
        <v>501</v>
      </c>
      <c r="H259" s="85">
        <v>28400</v>
      </c>
    </row>
    <row r="260" spans="1:8" x14ac:dyDescent="0.2">
      <c r="A260" t="s">
        <v>147</v>
      </c>
      <c r="B260" s="180">
        <v>45013</v>
      </c>
      <c r="C260" s="181">
        <v>0.59444444444444444</v>
      </c>
      <c r="D260" s="179">
        <v>501</v>
      </c>
      <c r="E260" s="179">
        <v>501</v>
      </c>
      <c r="F260" s="179">
        <v>501</v>
      </c>
      <c r="G260" s="179">
        <v>501</v>
      </c>
      <c r="H260" s="85">
        <v>1600</v>
      </c>
    </row>
    <row r="261" spans="1:8" x14ac:dyDescent="0.2">
      <c r="A261" t="s">
        <v>147</v>
      </c>
      <c r="B261" s="180">
        <v>45013</v>
      </c>
      <c r="C261" s="181">
        <v>0.59513888888888888</v>
      </c>
      <c r="D261" s="179">
        <v>501</v>
      </c>
      <c r="E261" s="179">
        <v>501</v>
      </c>
      <c r="F261" s="179">
        <v>500</v>
      </c>
      <c r="G261" s="179">
        <v>501</v>
      </c>
      <c r="H261" s="85">
        <v>4900</v>
      </c>
    </row>
    <row r="262" spans="1:8" x14ac:dyDescent="0.2">
      <c r="A262" t="s">
        <v>147</v>
      </c>
      <c r="B262" s="180">
        <v>45013</v>
      </c>
      <c r="C262" s="181">
        <v>0.59583333333333333</v>
      </c>
      <c r="D262" s="179">
        <v>501</v>
      </c>
      <c r="E262" s="179">
        <v>501</v>
      </c>
      <c r="F262" s="179">
        <v>500</v>
      </c>
      <c r="G262" s="179">
        <v>501</v>
      </c>
      <c r="H262" s="85">
        <v>8400</v>
      </c>
    </row>
    <row r="263" spans="1:8" x14ac:dyDescent="0.2">
      <c r="A263" t="s">
        <v>147</v>
      </c>
      <c r="B263" s="180">
        <v>45013</v>
      </c>
      <c r="C263" s="181">
        <v>0.59652777777777777</v>
      </c>
      <c r="D263" s="179">
        <v>501</v>
      </c>
      <c r="E263" s="179">
        <v>501</v>
      </c>
      <c r="F263" s="179">
        <v>501</v>
      </c>
      <c r="G263" s="179">
        <v>501</v>
      </c>
      <c r="H263" s="85">
        <v>1500</v>
      </c>
    </row>
    <row r="264" spans="1:8" x14ac:dyDescent="0.2">
      <c r="A264" t="s">
        <v>147</v>
      </c>
      <c r="B264" s="180">
        <v>45013</v>
      </c>
      <c r="C264" s="181">
        <v>0.59722222222222221</v>
      </c>
      <c r="D264" s="179">
        <v>502</v>
      </c>
      <c r="E264" s="179">
        <v>502</v>
      </c>
      <c r="F264" s="179">
        <v>501</v>
      </c>
      <c r="G264" s="179">
        <v>501</v>
      </c>
      <c r="H264" s="85">
        <v>1100</v>
      </c>
    </row>
    <row r="265" spans="1:8" x14ac:dyDescent="0.2">
      <c r="A265" t="s">
        <v>147</v>
      </c>
      <c r="B265" s="180">
        <v>45013</v>
      </c>
      <c r="C265" s="181">
        <v>0.59791666666666665</v>
      </c>
      <c r="D265" s="179">
        <v>501</v>
      </c>
      <c r="E265" s="179">
        <v>502</v>
      </c>
      <c r="F265" s="179">
        <v>501</v>
      </c>
      <c r="G265" s="179">
        <v>502</v>
      </c>
      <c r="H265" s="85">
        <v>800</v>
      </c>
    </row>
    <row r="266" spans="1:8" x14ac:dyDescent="0.2">
      <c r="A266" t="s">
        <v>147</v>
      </c>
      <c r="B266" s="180">
        <v>45013</v>
      </c>
      <c r="C266" s="181">
        <v>0.59861111111111109</v>
      </c>
      <c r="D266" s="179">
        <v>502</v>
      </c>
      <c r="E266" s="179">
        <v>502</v>
      </c>
      <c r="F266" s="179">
        <v>502</v>
      </c>
      <c r="G266" s="179">
        <v>502</v>
      </c>
      <c r="H266" s="85">
        <v>24500</v>
      </c>
    </row>
    <row r="267" spans="1:8" x14ac:dyDescent="0.2">
      <c r="A267" t="s">
        <v>147</v>
      </c>
      <c r="B267" s="180">
        <v>45013</v>
      </c>
      <c r="C267" s="181">
        <v>0.59930555555555554</v>
      </c>
      <c r="D267" s="179">
        <v>503</v>
      </c>
      <c r="E267" s="179">
        <v>503</v>
      </c>
      <c r="F267" s="179">
        <v>502</v>
      </c>
      <c r="G267" s="179">
        <v>503</v>
      </c>
      <c r="H267" s="85">
        <v>3400</v>
      </c>
    </row>
    <row r="268" spans="1:8" x14ac:dyDescent="0.2">
      <c r="A268" t="s">
        <v>147</v>
      </c>
      <c r="B268" s="180">
        <v>45013</v>
      </c>
      <c r="C268" s="181">
        <v>0.6</v>
      </c>
      <c r="D268" s="179">
        <v>503</v>
      </c>
      <c r="E268" s="179">
        <v>503</v>
      </c>
      <c r="F268" s="179">
        <v>502</v>
      </c>
      <c r="G268" s="179">
        <v>502</v>
      </c>
      <c r="H268" s="85">
        <v>200</v>
      </c>
    </row>
    <row r="269" spans="1:8" x14ac:dyDescent="0.2">
      <c r="A269" t="s">
        <v>147</v>
      </c>
      <c r="B269" s="180">
        <v>45013</v>
      </c>
      <c r="C269" s="181">
        <v>0.60069444444444442</v>
      </c>
      <c r="D269" s="179">
        <v>502</v>
      </c>
      <c r="E269" s="179">
        <v>503</v>
      </c>
      <c r="F269" s="179">
        <v>502</v>
      </c>
      <c r="G269" s="179">
        <v>503</v>
      </c>
      <c r="H269" s="85">
        <v>17200</v>
      </c>
    </row>
    <row r="270" spans="1:8" x14ac:dyDescent="0.2">
      <c r="A270" t="s">
        <v>147</v>
      </c>
      <c r="B270" s="180">
        <v>45013</v>
      </c>
      <c r="C270" s="181">
        <v>0.60138888888888886</v>
      </c>
      <c r="D270" s="179">
        <v>502</v>
      </c>
      <c r="E270" s="179">
        <v>503</v>
      </c>
      <c r="F270" s="179">
        <v>502</v>
      </c>
      <c r="G270" s="179">
        <v>503</v>
      </c>
      <c r="H270" s="85">
        <v>19100</v>
      </c>
    </row>
    <row r="271" spans="1:8" x14ac:dyDescent="0.2">
      <c r="A271" t="s">
        <v>147</v>
      </c>
      <c r="B271" s="180">
        <v>45013</v>
      </c>
      <c r="C271" s="181">
        <v>0.6020833333333333</v>
      </c>
      <c r="D271" s="179">
        <v>503</v>
      </c>
      <c r="E271" s="179">
        <v>503</v>
      </c>
      <c r="F271" s="179">
        <v>503</v>
      </c>
      <c r="G271" s="179">
        <v>503</v>
      </c>
      <c r="H271" s="85">
        <v>1100</v>
      </c>
    </row>
    <row r="272" spans="1:8" x14ac:dyDescent="0.2">
      <c r="A272" t="s">
        <v>147</v>
      </c>
      <c r="B272" s="180">
        <v>45013</v>
      </c>
      <c r="C272" s="181">
        <v>0.60277777777777775</v>
      </c>
      <c r="D272" s="179">
        <v>503</v>
      </c>
      <c r="E272" s="179">
        <v>503</v>
      </c>
      <c r="F272" s="179">
        <v>502</v>
      </c>
      <c r="G272" s="179">
        <v>502</v>
      </c>
      <c r="H272" s="85">
        <v>11600</v>
      </c>
    </row>
    <row r="273" spans="1:8" x14ac:dyDescent="0.2">
      <c r="A273" t="s">
        <v>147</v>
      </c>
      <c r="B273" s="180">
        <v>45013</v>
      </c>
      <c r="C273" s="181">
        <v>0.60347222222222219</v>
      </c>
      <c r="D273" s="179">
        <v>502</v>
      </c>
      <c r="E273" s="179">
        <v>503</v>
      </c>
      <c r="F273" s="179">
        <v>502</v>
      </c>
      <c r="G273" s="179">
        <v>502</v>
      </c>
      <c r="H273" s="85">
        <v>19300</v>
      </c>
    </row>
    <row r="274" spans="1:8" x14ac:dyDescent="0.2">
      <c r="A274" t="s">
        <v>147</v>
      </c>
      <c r="B274" s="180">
        <v>45013</v>
      </c>
      <c r="C274" s="181">
        <v>0.60416666666666663</v>
      </c>
      <c r="D274" s="179">
        <v>502</v>
      </c>
      <c r="E274" s="179">
        <v>502</v>
      </c>
      <c r="F274" s="179">
        <v>500</v>
      </c>
      <c r="G274" s="179">
        <v>500</v>
      </c>
      <c r="H274" s="85">
        <v>19000</v>
      </c>
    </row>
    <row r="275" spans="1:8" x14ac:dyDescent="0.2">
      <c r="A275" t="s">
        <v>147</v>
      </c>
      <c r="B275" s="180">
        <v>45013</v>
      </c>
      <c r="C275" s="181">
        <v>0.60486111111111118</v>
      </c>
      <c r="D275" s="179">
        <v>501</v>
      </c>
      <c r="E275" s="179">
        <v>502</v>
      </c>
      <c r="F275" s="179">
        <v>501</v>
      </c>
      <c r="G275" s="179">
        <v>502</v>
      </c>
      <c r="H275" s="85">
        <v>4600</v>
      </c>
    </row>
    <row r="276" spans="1:8" x14ac:dyDescent="0.2">
      <c r="A276" t="s">
        <v>147</v>
      </c>
      <c r="B276" s="180">
        <v>45013</v>
      </c>
      <c r="C276" s="181">
        <v>0.60555555555555551</v>
      </c>
      <c r="D276" s="179">
        <v>502</v>
      </c>
      <c r="E276" s="179">
        <v>502</v>
      </c>
      <c r="F276" s="179">
        <v>501</v>
      </c>
      <c r="G276" s="179">
        <v>502</v>
      </c>
      <c r="H276" s="85">
        <v>3600</v>
      </c>
    </row>
    <row r="277" spans="1:8" x14ac:dyDescent="0.2">
      <c r="A277" t="s">
        <v>147</v>
      </c>
      <c r="B277" s="180">
        <v>45013</v>
      </c>
      <c r="C277" s="181">
        <v>0.60625000000000007</v>
      </c>
      <c r="D277" s="179">
        <v>502</v>
      </c>
      <c r="E277" s="179">
        <v>502</v>
      </c>
      <c r="F277" s="179">
        <v>502</v>
      </c>
      <c r="G277" s="179">
        <v>502</v>
      </c>
      <c r="H277" s="85">
        <v>600</v>
      </c>
    </row>
    <row r="278" spans="1:8" x14ac:dyDescent="0.2">
      <c r="A278" t="s">
        <v>147</v>
      </c>
      <c r="B278" s="180">
        <v>45013</v>
      </c>
      <c r="C278" s="181">
        <v>0.6069444444444444</v>
      </c>
      <c r="D278" s="179">
        <v>502</v>
      </c>
      <c r="E278" s="179">
        <v>502</v>
      </c>
      <c r="F278" s="179">
        <v>502</v>
      </c>
      <c r="G278" s="179">
        <v>502</v>
      </c>
      <c r="H278" s="85">
        <v>1400</v>
      </c>
    </row>
    <row r="279" spans="1:8" x14ac:dyDescent="0.2">
      <c r="A279" t="s">
        <v>147</v>
      </c>
      <c r="B279" s="180">
        <v>45013</v>
      </c>
      <c r="C279" s="181">
        <v>0.60763888888888895</v>
      </c>
      <c r="D279" s="179">
        <v>501</v>
      </c>
      <c r="E279" s="179">
        <v>502</v>
      </c>
      <c r="F279" s="179">
        <v>500</v>
      </c>
      <c r="G279" s="179">
        <v>500</v>
      </c>
      <c r="H279" s="85">
        <v>116300</v>
      </c>
    </row>
    <row r="280" spans="1:8" x14ac:dyDescent="0.2">
      <c r="A280" t="s">
        <v>147</v>
      </c>
      <c r="B280" s="180">
        <v>45013</v>
      </c>
      <c r="C280" s="181">
        <v>0.60833333333333328</v>
      </c>
      <c r="D280" s="179">
        <v>501</v>
      </c>
      <c r="E280" s="179">
        <v>501</v>
      </c>
      <c r="F280" s="179">
        <v>501</v>
      </c>
      <c r="G280" s="179">
        <v>501</v>
      </c>
      <c r="H280" s="85">
        <v>8000</v>
      </c>
    </row>
    <row r="281" spans="1:8" x14ac:dyDescent="0.2">
      <c r="A281" t="s">
        <v>147</v>
      </c>
      <c r="B281" s="180">
        <v>45013</v>
      </c>
      <c r="C281" s="181">
        <v>0.60902777777777783</v>
      </c>
      <c r="D281" s="179">
        <v>500</v>
      </c>
      <c r="E281" s="179">
        <v>500</v>
      </c>
      <c r="F281" s="179">
        <v>500</v>
      </c>
      <c r="G281" s="179">
        <v>500</v>
      </c>
      <c r="H281" s="85">
        <v>21400</v>
      </c>
    </row>
    <row r="282" spans="1:8" x14ac:dyDescent="0.2">
      <c r="A282" t="s">
        <v>147</v>
      </c>
      <c r="B282" s="180">
        <v>45013</v>
      </c>
      <c r="C282" s="181">
        <v>0.60972222222222217</v>
      </c>
      <c r="D282" s="179">
        <v>500</v>
      </c>
      <c r="E282" s="179">
        <v>500</v>
      </c>
      <c r="F282" s="179">
        <v>500</v>
      </c>
      <c r="G282" s="179">
        <v>500</v>
      </c>
      <c r="H282" s="85">
        <v>12600</v>
      </c>
    </row>
    <row r="283" spans="1:8" x14ac:dyDescent="0.2">
      <c r="A283" t="s">
        <v>147</v>
      </c>
      <c r="B283" s="180">
        <v>45013</v>
      </c>
      <c r="C283" s="181">
        <v>0.61041666666666672</v>
      </c>
      <c r="D283" s="179">
        <v>501</v>
      </c>
      <c r="E283" s="179">
        <v>501</v>
      </c>
      <c r="F283" s="179">
        <v>500</v>
      </c>
      <c r="G283" s="179">
        <v>501</v>
      </c>
      <c r="H283" s="85">
        <v>6500</v>
      </c>
    </row>
    <row r="284" spans="1:8" x14ac:dyDescent="0.2">
      <c r="A284" t="s">
        <v>147</v>
      </c>
      <c r="B284" s="180">
        <v>45013</v>
      </c>
      <c r="C284" s="181">
        <v>0.61111111111111105</v>
      </c>
      <c r="D284" s="179">
        <v>501</v>
      </c>
      <c r="E284" s="179">
        <v>501</v>
      </c>
      <c r="F284" s="179">
        <v>501</v>
      </c>
      <c r="G284" s="179">
        <v>501</v>
      </c>
      <c r="H284" s="85">
        <v>16500</v>
      </c>
    </row>
    <row r="285" spans="1:8" x14ac:dyDescent="0.2">
      <c r="A285" t="s">
        <v>147</v>
      </c>
      <c r="B285" s="180">
        <v>45013</v>
      </c>
      <c r="C285" s="181">
        <v>0.6118055555555556</v>
      </c>
      <c r="D285" s="179">
        <v>501</v>
      </c>
      <c r="E285" s="179">
        <v>501</v>
      </c>
      <c r="F285" s="179">
        <v>500</v>
      </c>
      <c r="G285" s="179">
        <v>500</v>
      </c>
      <c r="H285" s="85">
        <v>1500</v>
      </c>
    </row>
    <row r="286" spans="1:8" x14ac:dyDescent="0.2">
      <c r="A286" t="s">
        <v>147</v>
      </c>
      <c r="B286" s="180">
        <v>45013</v>
      </c>
      <c r="C286" s="181">
        <v>0.61249999999999993</v>
      </c>
      <c r="D286" s="179">
        <v>500</v>
      </c>
      <c r="E286" s="179">
        <v>501</v>
      </c>
      <c r="F286" s="179">
        <v>500</v>
      </c>
      <c r="G286" s="179">
        <v>501</v>
      </c>
      <c r="H286" s="85">
        <v>2800</v>
      </c>
    </row>
    <row r="287" spans="1:8" x14ac:dyDescent="0.2">
      <c r="A287" t="s">
        <v>147</v>
      </c>
      <c r="B287" s="180">
        <v>45013</v>
      </c>
      <c r="C287" s="181">
        <v>0.61319444444444449</v>
      </c>
      <c r="D287" s="179">
        <v>501</v>
      </c>
      <c r="E287" s="179">
        <v>501</v>
      </c>
      <c r="F287" s="179">
        <v>501</v>
      </c>
      <c r="G287" s="179">
        <v>501</v>
      </c>
      <c r="H287" s="85">
        <v>0</v>
      </c>
    </row>
    <row r="288" spans="1:8" x14ac:dyDescent="0.2">
      <c r="A288" t="s">
        <v>147</v>
      </c>
      <c r="B288" s="180">
        <v>45013</v>
      </c>
      <c r="C288" s="181">
        <v>0.61388888888888882</v>
      </c>
      <c r="D288" s="179">
        <v>501</v>
      </c>
      <c r="E288" s="179">
        <v>501</v>
      </c>
      <c r="F288" s="179">
        <v>500</v>
      </c>
      <c r="G288" s="179">
        <v>501</v>
      </c>
      <c r="H288" s="85">
        <v>11200</v>
      </c>
    </row>
    <row r="289" spans="1:8" x14ac:dyDescent="0.2">
      <c r="A289" t="s">
        <v>147</v>
      </c>
      <c r="B289" s="180">
        <v>45013</v>
      </c>
      <c r="C289" s="181">
        <v>0.61458333333333337</v>
      </c>
      <c r="D289" s="179">
        <v>500</v>
      </c>
      <c r="E289" s="179">
        <v>501</v>
      </c>
      <c r="F289" s="179">
        <v>500</v>
      </c>
      <c r="G289" s="179">
        <v>501</v>
      </c>
      <c r="H289" s="85">
        <v>25400</v>
      </c>
    </row>
    <row r="290" spans="1:8" x14ac:dyDescent="0.2">
      <c r="A290" t="s">
        <v>147</v>
      </c>
      <c r="B290" s="180">
        <v>45013</v>
      </c>
      <c r="C290" s="181">
        <v>0.61527777777777781</v>
      </c>
      <c r="D290" s="179">
        <v>501</v>
      </c>
      <c r="E290" s="179">
        <v>501</v>
      </c>
      <c r="F290" s="179">
        <v>500</v>
      </c>
      <c r="G290" s="179">
        <v>500</v>
      </c>
      <c r="H290" s="85">
        <v>41900</v>
      </c>
    </row>
    <row r="291" spans="1:8" x14ac:dyDescent="0.2">
      <c r="A291" t="s">
        <v>147</v>
      </c>
      <c r="B291" s="180">
        <v>45013</v>
      </c>
      <c r="C291" s="181">
        <v>0.61597222222222225</v>
      </c>
      <c r="D291" s="179">
        <v>501</v>
      </c>
      <c r="E291" s="179">
        <v>501</v>
      </c>
      <c r="F291" s="179">
        <v>500</v>
      </c>
      <c r="G291" s="179">
        <v>500</v>
      </c>
      <c r="H291" s="85">
        <v>1700</v>
      </c>
    </row>
    <row r="292" spans="1:8" x14ac:dyDescent="0.2">
      <c r="A292" t="s">
        <v>147</v>
      </c>
      <c r="B292" s="180">
        <v>45013</v>
      </c>
      <c r="C292" s="181">
        <v>0.6166666666666667</v>
      </c>
      <c r="D292" s="179">
        <v>501</v>
      </c>
      <c r="E292" s="179">
        <v>501</v>
      </c>
      <c r="F292" s="179">
        <v>500</v>
      </c>
      <c r="G292" s="179">
        <v>500</v>
      </c>
      <c r="H292" s="85">
        <v>21700</v>
      </c>
    </row>
    <row r="293" spans="1:8" x14ac:dyDescent="0.2">
      <c r="A293" t="s">
        <v>147</v>
      </c>
      <c r="B293" s="180">
        <v>45013</v>
      </c>
      <c r="C293" s="181">
        <v>0.61736111111111114</v>
      </c>
      <c r="D293" s="179">
        <v>499</v>
      </c>
      <c r="E293" s="179">
        <v>499</v>
      </c>
      <c r="F293" s="179">
        <v>497</v>
      </c>
      <c r="G293" s="179">
        <v>497</v>
      </c>
      <c r="H293" s="85">
        <v>104200</v>
      </c>
    </row>
    <row r="294" spans="1:8" x14ac:dyDescent="0.2">
      <c r="A294" t="s">
        <v>147</v>
      </c>
      <c r="B294" s="180">
        <v>45013</v>
      </c>
      <c r="C294" s="181">
        <v>0.61805555555555558</v>
      </c>
      <c r="D294" s="179">
        <v>497</v>
      </c>
      <c r="E294" s="179">
        <v>497</v>
      </c>
      <c r="F294" s="179">
        <v>493</v>
      </c>
      <c r="G294" s="179">
        <v>494</v>
      </c>
      <c r="H294" s="85">
        <v>55900</v>
      </c>
    </row>
    <row r="295" spans="1:8" x14ac:dyDescent="0.2">
      <c r="A295" t="s">
        <v>147</v>
      </c>
      <c r="B295" s="180">
        <v>45013</v>
      </c>
      <c r="C295" s="181">
        <v>0.61875000000000002</v>
      </c>
      <c r="D295" s="179">
        <v>494</v>
      </c>
      <c r="E295" s="179">
        <v>495</v>
      </c>
      <c r="F295" s="179">
        <v>494</v>
      </c>
      <c r="G295" s="179">
        <v>494</v>
      </c>
      <c r="H295" s="85">
        <v>10500</v>
      </c>
    </row>
    <row r="296" spans="1:8" x14ac:dyDescent="0.2">
      <c r="A296" t="s">
        <v>147</v>
      </c>
      <c r="B296" s="180">
        <v>45013</v>
      </c>
      <c r="C296" s="181">
        <v>0.61944444444444446</v>
      </c>
      <c r="D296" s="179">
        <v>494</v>
      </c>
      <c r="E296" s="179">
        <v>494</v>
      </c>
      <c r="F296" s="179">
        <v>493</v>
      </c>
      <c r="G296" s="179">
        <v>494</v>
      </c>
      <c r="H296" s="85">
        <v>13900</v>
      </c>
    </row>
    <row r="297" spans="1:8" x14ac:dyDescent="0.2">
      <c r="A297" t="s">
        <v>147</v>
      </c>
      <c r="B297" s="180">
        <v>45013</v>
      </c>
      <c r="C297" s="181">
        <v>0.62013888888888891</v>
      </c>
      <c r="D297" s="179">
        <v>493</v>
      </c>
      <c r="E297" s="179">
        <v>494</v>
      </c>
      <c r="F297" s="179">
        <v>493</v>
      </c>
      <c r="G297" s="179">
        <v>494</v>
      </c>
      <c r="H297" s="85">
        <v>72100</v>
      </c>
    </row>
    <row r="298" spans="1:8" x14ac:dyDescent="0.2">
      <c r="A298" t="s">
        <v>147</v>
      </c>
      <c r="B298" s="180">
        <v>45013</v>
      </c>
      <c r="C298" s="181">
        <v>0.62083333333333335</v>
      </c>
      <c r="D298" s="179">
        <v>493</v>
      </c>
      <c r="E298" s="179">
        <v>493</v>
      </c>
      <c r="F298" s="179">
        <v>493</v>
      </c>
      <c r="G298" s="179">
        <v>493</v>
      </c>
      <c r="H298" s="85">
        <v>11200</v>
      </c>
    </row>
    <row r="299" spans="1:8" x14ac:dyDescent="0.2">
      <c r="A299" t="s">
        <v>147</v>
      </c>
      <c r="B299" s="180">
        <v>45013</v>
      </c>
      <c r="C299" s="181">
        <v>0.62152777777777779</v>
      </c>
      <c r="D299" s="179">
        <v>493</v>
      </c>
      <c r="E299" s="179">
        <v>494</v>
      </c>
      <c r="F299" s="179">
        <v>493</v>
      </c>
      <c r="G299" s="179">
        <v>493</v>
      </c>
      <c r="H299" s="85">
        <v>4300</v>
      </c>
    </row>
    <row r="300" spans="1:8" x14ac:dyDescent="0.2">
      <c r="A300" t="s">
        <v>147</v>
      </c>
      <c r="B300" s="180">
        <v>45013</v>
      </c>
      <c r="C300" s="181">
        <v>0.62222222222222223</v>
      </c>
      <c r="D300" s="179">
        <v>494</v>
      </c>
      <c r="E300" s="179">
        <v>494</v>
      </c>
      <c r="F300" s="179">
        <v>492</v>
      </c>
      <c r="G300" s="179">
        <v>492</v>
      </c>
      <c r="H300" s="85">
        <v>31500</v>
      </c>
    </row>
    <row r="301" spans="1:8" x14ac:dyDescent="0.2">
      <c r="A301" t="s">
        <v>147</v>
      </c>
      <c r="B301" s="180">
        <v>45013</v>
      </c>
      <c r="C301" s="181">
        <v>0.62291666666666667</v>
      </c>
      <c r="D301" s="179">
        <v>492</v>
      </c>
      <c r="E301" s="179">
        <v>493</v>
      </c>
      <c r="F301" s="179">
        <v>491</v>
      </c>
      <c r="G301" s="179">
        <v>492</v>
      </c>
      <c r="H301" s="85">
        <v>20500</v>
      </c>
    </row>
    <row r="302" spans="1:8" x14ac:dyDescent="0.2">
      <c r="A302" t="s">
        <v>147</v>
      </c>
      <c r="B302" s="180">
        <v>45013</v>
      </c>
      <c r="C302" s="181">
        <v>0.62361111111111112</v>
      </c>
      <c r="D302" s="179">
        <v>492</v>
      </c>
      <c r="E302" s="179">
        <v>493</v>
      </c>
      <c r="F302" s="179">
        <v>490</v>
      </c>
      <c r="G302" s="179">
        <v>491</v>
      </c>
      <c r="H302" s="85">
        <v>59700</v>
      </c>
    </row>
    <row r="303" spans="1:8" x14ac:dyDescent="0.2">
      <c r="A303" t="s">
        <v>147</v>
      </c>
      <c r="B303" s="180">
        <v>45013</v>
      </c>
      <c r="C303" s="181">
        <v>0.62430555555555556</v>
      </c>
      <c r="D303" s="179">
        <v>491</v>
      </c>
      <c r="E303" s="179">
        <v>493</v>
      </c>
      <c r="F303" s="179">
        <v>490</v>
      </c>
      <c r="G303" s="179">
        <v>493</v>
      </c>
      <c r="H303" s="85">
        <v>81200</v>
      </c>
    </row>
    <row r="304" spans="1:8" x14ac:dyDescent="0.2">
      <c r="A304" t="s">
        <v>147</v>
      </c>
      <c r="B304" s="180">
        <v>45013</v>
      </c>
      <c r="C304" s="181">
        <v>0.625</v>
      </c>
      <c r="D304" s="179">
        <v>494</v>
      </c>
      <c r="E304" s="179">
        <v>494</v>
      </c>
      <c r="F304" s="179">
        <v>494</v>
      </c>
      <c r="G304" s="179">
        <v>494</v>
      </c>
      <c r="H304" s="85">
        <v>306400</v>
      </c>
    </row>
    <row r="305" spans="1:8" x14ac:dyDescent="0.2">
      <c r="A305" t="s">
        <v>147</v>
      </c>
      <c r="B305" s="180">
        <v>45014</v>
      </c>
      <c r="C305" s="181">
        <v>0.375</v>
      </c>
      <c r="D305" s="179">
        <v>496</v>
      </c>
      <c r="E305" s="179">
        <v>500</v>
      </c>
      <c r="F305" s="179">
        <v>494</v>
      </c>
      <c r="G305" s="179">
        <v>499</v>
      </c>
      <c r="H305" s="85">
        <v>258200</v>
      </c>
    </row>
    <row r="306" spans="1:8" x14ac:dyDescent="0.2">
      <c r="A306" t="s">
        <v>147</v>
      </c>
      <c r="B306" s="180">
        <v>45014</v>
      </c>
      <c r="C306" s="181">
        <v>0.3756944444444445</v>
      </c>
      <c r="D306" s="179">
        <v>500</v>
      </c>
      <c r="E306" s="179">
        <v>501</v>
      </c>
      <c r="F306" s="179">
        <v>494</v>
      </c>
      <c r="G306" s="179">
        <v>495</v>
      </c>
      <c r="H306" s="85">
        <v>48500</v>
      </c>
    </row>
    <row r="307" spans="1:8" x14ac:dyDescent="0.2">
      <c r="A307" t="s">
        <v>147</v>
      </c>
      <c r="B307" s="180">
        <v>45014</v>
      </c>
      <c r="C307" s="181">
        <v>0.37638888888888888</v>
      </c>
      <c r="D307" s="179">
        <v>496</v>
      </c>
      <c r="E307" s="179">
        <v>497</v>
      </c>
      <c r="F307" s="179">
        <v>489</v>
      </c>
      <c r="G307" s="179">
        <v>490</v>
      </c>
      <c r="H307" s="85">
        <v>74300</v>
      </c>
    </row>
    <row r="308" spans="1:8" x14ac:dyDescent="0.2">
      <c r="A308" t="s">
        <v>147</v>
      </c>
      <c r="B308" s="180">
        <v>45014</v>
      </c>
      <c r="C308" s="181">
        <v>0.37708333333333338</v>
      </c>
      <c r="D308" s="179">
        <v>491</v>
      </c>
      <c r="E308" s="179">
        <v>493</v>
      </c>
      <c r="F308" s="179">
        <v>490</v>
      </c>
      <c r="G308" s="179">
        <v>493</v>
      </c>
      <c r="H308" s="85">
        <v>9800</v>
      </c>
    </row>
    <row r="309" spans="1:8" x14ac:dyDescent="0.2">
      <c r="A309" t="s">
        <v>147</v>
      </c>
      <c r="B309" s="180">
        <v>45014</v>
      </c>
      <c r="C309" s="181">
        <v>0.37777777777777777</v>
      </c>
      <c r="D309" s="179">
        <v>493</v>
      </c>
      <c r="E309" s="179">
        <v>494</v>
      </c>
      <c r="F309" s="179">
        <v>492</v>
      </c>
      <c r="G309" s="179">
        <v>493</v>
      </c>
      <c r="H309" s="85">
        <v>9700</v>
      </c>
    </row>
    <row r="310" spans="1:8" x14ac:dyDescent="0.2">
      <c r="A310" t="s">
        <v>147</v>
      </c>
      <c r="B310" s="180">
        <v>45014</v>
      </c>
      <c r="C310" s="181">
        <v>0.37847222222222227</v>
      </c>
      <c r="D310" s="179">
        <v>492</v>
      </c>
      <c r="E310" s="179">
        <v>494</v>
      </c>
      <c r="F310" s="179">
        <v>491</v>
      </c>
      <c r="G310" s="179">
        <v>492</v>
      </c>
      <c r="H310" s="85">
        <v>18900</v>
      </c>
    </row>
    <row r="311" spans="1:8" x14ac:dyDescent="0.2">
      <c r="A311" t="s">
        <v>147</v>
      </c>
      <c r="B311" s="180">
        <v>45014</v>
      </c>
      <c r="C311" s="181">
        <v>0.37916666666666665</v>
      </c>
      <c r="D311" s="179">
        <v>492</v>
      </c>
      <c r="E311" s="179">
        <v>492</v>
      </c>
      <c r="F311" s="179">
        <v>488</v>
      </c>
      <c r="G311" s="179">
        <v>489</v>
      </c>
      <c r="H311" s="85">
        <v>35400</v>
      </c>
    </row>
    <row r="312" spans="1:8" x14ac:dyDescent="0.2">
      <c r="A312" t="s">
        <v>147</v>
      </c>
      <c r="B312" s="180">
        <v>45014</v>
      </c>
      <c r="C312" s="181">
        <v>0.37986111111111115</v>
      </c>
      <c r="D312" s="179">
        <v>489</v>
      </c>
      <c r="E312" s="179">
        <v>490</v>
      </c>
      <c r="F312" s="179">
        <v>487</v>
      </c>
      <c r="G312" s="179">
        <v>488</v>
      </c>
      <c r="H312" s="85">
        <v>30900</v>
      </c>
    </row>
    <row r="313" spans="1:8" x14ac:dyDescent="0.2">
      <c r="A313" t="s">
        <v>147</v>
      </c>
      <c r="B313" s="180">
        <v>45014</v>
      </c>
      <c r="C313" s="181">
        <v>0.38055555555555554</v>
      </c>
      <c r="D313" s="179">
        <v>488</v>
      </c>
      <c r="E313" s="179">
        <v>488</v>
      </c>
      <c r="F313" s="179">
        <v>486</v>
      </c>
      <c r="G313" s="179">
        <v>486</v>
      </c>
      <c r="H313" s="85">
        <v>28300</v>
      </c>
    </row>
    <row r="314" spans="1:8" x14ac:dyDescent="0.2">
      <c r="A314" t="s">
        <v>147</v>
      </c>
      <c r="B314" s="180">
        <v>45014</v>
      </c>
      <c r="C314" s="181">
        <v>0.38125000000000003</v>
      </c>
      <c r="D314" s="179">
        <v>486</v>
      </c>
      <c r="E314" s="179">
        <v>489</v>
      </c>
      <c r="F314" s="179">
        <v>485</v>
      </c>
      <c r="G314" s="179">
        <v>489</v>
      </c>
      <c r="H314" s="85">
        <v>83000</v>
      </c>
    </row>
    <row r="315" spans="1:8" x14ac:dyDescent="0.2">
      <c r="A315" t="s">
        <v>147</v>
      </c>
      <c r="B315" s="180">
        <v>45014</v>
      </c>
      <c r="C315" s="181">
        <v>0.38194444444444442</v>
      </c>
      <c r="D315" s="179">
        <v>489</v>
      </c>
      <c r="E315" s="179">
        <v>489</v>
      </c>
      <c r="F315" s="179">
        <v>485</v>
      </c>
      <c r="G315" s="179">
        <v>486</v>
      </c>
      <c r="H315" s="85">
        <v>48100</v>
      </c>
    </row>
    <row r="316" spans="1:8" x14ac:dyDescent="0.2">
      <c r="A316" t="s">
        <v>147</v>
      </c>
      <c r="B316" s="180">
        <v>45014</v>
      </c>
      <c r="C316" s="181">
        <v>0.38263888888888892</v>
      </c>
      <c r="D316" s="179">
        <v>485</v>
      </c>
      <c r="E316" s="179">
        <v>490</v>
      </c>
      <c r="F316" s="179">
        <v>485</v>
      </c>
      <c r="G316" s="179">
        <v>489</v>
      </c>
      <c r="H316" s="85">
        <v>27500</v>
      </c>
    </row>
    <row r="317" spans="1:8" x14ac:dyDescent="0.2">
      <c r="A317" t="s">
        <v>147</v>
      </c>
      <c r="B317" s="180">
        <v>45014</v>
      </c>
      <c r="C317" s="181">
        <v>0.3833333333333333</v>
      </c>
      <c r="D317" s="179">
        <v>489</v>
      </c>
      <c r="E317" s="179">
        <v>489</v>
      </c>
      <c r="F317" s="179">
        <v>487</v>
      </c>
      <c r="G317" s="179">
        <v>487</v>
      </c>
      <c r="H317" s="85">
        <v>15000</v>
      </c>
    </row>
    <row r="318" spans="1:8" x14ac:dyDescent="0.2">
      <c r="A318" t="s">
        <v>147</v>
      </c>
      <c r="B318" s="180">
        <v>45014</v>
      </c>
      <c r="C318" s="181">
        <v>0.3840277777777778</v>
      </c>
      <c r="D318" s="179">
        <v>486</v>
      </c>
      <c r="E318" s="179">
        <v>489</v>
      </c>
      <c r="F318" s="179">
        <v>486</v>
      </c>
      <c r="G318" s="179">
        <v>489</v>
      </c>
      <c r="H318" s="85">
        <v>13900</v>
      </c>
    </row>
    <row r="319" spans="1:8" x14ac:dyDescent="0.2">
      <c r="A319" t="s">
        <v>147</v>
      </c>
      <c r="B319" s="180">
        <v>45014</v>
      </c>
      <c r="C319" s="181">
        <v>0.38472222222222219</v>
      </c>
      <c r="D319" s="179">
        <v>489</v>
      </c>
      <c r="E319" s="179">
        <v>490</v>
      </c>
      <c r="F319" s="179">
        <v>489</v>
      </c>
      <c r="G319" s="179">
        <v>490</v>
      </c>
      <c r="H319" s="85">
        <v>8200</v>
      </c>
    </row>
    <row r="320" spans="1:8" x14ac:dyDescent="0.2">
      <c r="A320" t="s">
        <v>147</v>
      </c>
      <c r="B320" s="180">
        <v>45014</v>
      </c>
      <c r="C320" s="181">
        <v>0.38541666666666669</v>
      </c>
      <c r="D320" s="179">
        <v>489</v>
      </c>
      <c r="E320" s="179">
        <v>490</v>
      </c>
      <c r="F320" s="179">
        <v>488</v>
      </c>
      <c r="G320" s="179">
        <v>489</v>
      </c>
      <c r="H320" s="85">
        <v>9800</v>
      </c>
    </row>
    <row r="321" spans="1:8" x14ac:dyDescent="0.2">
      <c r="A321" t="s">
        <v>147</v>
      </c>
      <c r="B321" s="180">
        <v>45014</v>
      </c>
      <c r="C321" s="181">
        <v>0.38611111111111113</v>
      </c>
      <c r="D321" s="179">
        <v>490</v>
      </c>
      <c r="E321" s="179">
        <v>493</v>
      </c>
      <c r="F321" s="179">
        <v>490</v>
      </c>
      <c r="G321" s="179">
        <v>493</v>
      </c>
      <c r="H321" s="85">
        <v>48000</v>
      </c>
    </row>
    <row r="322" spans="1:8" x14ac:dyDescent="0.2">
      <c r="A322" t="s">
        <v>147</v>
      </c>
      <c r="B322" s="180">
        <v>45014</v>
      </c>
      <c r="C322" s="181">
        <v>0.38680555555555557</v>
      </c>
      <c r="D322" s="179">
        <v>492</v>
      </c>
      <c r="E322" s="179">
        <v>494</v>
      </c>
      <c r="F322" s="179">
        <v>492</v>
      </c>
      <c r="G322" s="179">
        <v>494</v>
      </c>
      <c r="H322" s="85">
        <v>15500</v>
      </c>
    </row>
    <row r="323" spans="1:8" x14ac:dyDescent="0.2">
      <c r="A323" t="s">
        <v>147</v>
      </c>
      <c r="B323" s="180">
        <v>45014</v>
      </c>
      <c r="C323" s="181">
        <v>0.38750000000000001</v>
      </c>
      <c r="D323" s="179">
        <v>493</v>
      </c>
      <c r="E323" s="179">
        <v>494</v>
      </c>
      <c r="F323" s="179">
        <v>493</v>
      </c>
      <c r="G323" s="179">
        <v>494</v>
      </c>
      <c r="H323" s="85">
        <v>3500</v>
      </c>
    </row>
    <row r="324" spans="1:8" x14ac:dyDescent="0.2">
      <c r="A324" t="s">
        <v>147</v>
      </c>
      <c r="B324" s="180">
        <v>45014</v>
      </c>
      <c r="C324" s="181">
        <v>0.38819444444444445</v>
      </c>
      <c r="D324" s="179">
        <v>494</v>
      </c>
      <c r="E324" s="179">
        <v>495</v>
      </c>
      <c r="F324" s="179">
        <v>494</v>
      </c>
      <c r="G324" s="179">
        <v>495</v>
      </c>
      <c r="H324" s="85">
        <v>12400</v>
      </c>
    </row>
    <row r="325" spans="1:8" x14ac:dyDescent="0.2">
      <c r="A325" t="s">
        <v>147</v>
      </c>
      <c r="B325" s="180">
        <v>45014</v>
      </c>
      <c r="C325" s="181">
        <v>0.3888888888888889</v>
      </c>
      <c r="D325" s="179">
        <v>494</v>
      </c>
      <c r="E325" s="179">
        <v>496</v>
      </c>
      <c r="F325" s="179">
        <v>494</v>
      </c>
      <c r="G325" s="179">
        <v>496</v>
      </c>
      <c r="H325" s="85">
        <v>9000</v>
      </c>
    </row>
    <row r="326" spans="1:8" x14ac:dyDescent="0.2">
      <c r="A326" t="s">
        <v>147</v>
      </c>
      <c r="B326" s="180">
        <v>45014</v>
      </c>
      <c r="C326" s="181">
        <v>0.38958333333333334</v>
      </c>
      <c r="D326" s="179">
        <v>496</v>
      </c>
      <c r="E326" s="179">
        <v>496</v>
      </c>
      <c r="F326" s="179">
        <v>496</v>
      </c>
      <c r="G326" s="179">
        <v>496</v>
      </c>
      <c r="H326" s="85">
        <v>11800</v>
      </c>
    </row>
    <row r="327" spans="1:8" x14ac:dyDescent="0.2">
      <c r="A327" t="s">
        <v>147</v>
      </c>
      <c r="B327" s="180">
        <v>45014</v>
      </c>
      <c r="C327" s="181">
        <v>0.39027777777777778</v>
      </c>
      <c r="D327" s="179">
        <v>497</v>
      </c>
      <c r="E327" s="179">
        <v>498</v>
      </c>
      <c r="F327" s="179">
        <v>496</v>
      </c>
      <c r="G327" s="179">
        <v>496</v>
      </c>
      <c r="H327" s="85">
        <v>27400</v>
      </c>
    </row>
    <row r="328" spans="1:8" x14ac:dyDescent="0.2">
      <c r="A328" t="s">
        <v>147</v>
      </c>
      <c r="B328" s="180">
        <v>45014</v>
      </c>
      <c r="C328" s="181">
        <v>0.39097222222222222</v>
      </c>
      <c r="D328" s="179">
        <v>495</v>
      </c>
      <c r="E328" s="179">
        <v>497</v>
      </c>
      <c r="F328" s="179">
        <v>495</v>
      </c>
      <c r="G328" s="179">
        <v>495</v>
      </c>
      <c r="H328" s="85">
        <v>7300</v>
      </c>
    </row>
    <row r="329" spans="1:8" x14ac:dyDescent="0.2">
      <c r="A329" t="s">
        <v>147</v>
      </c>
      <c r="B329" s="180">
        <v>45014</v>
      </c>
      <c r="C329" s="181">
        <v>0.39166666666666666</v>
      </c>
      <c r="D329" s="179">
        <v>495</v>
      </c>
      <c r="E329" s="179">
        <v>495</v>
      </c>
      <c r="F329" s="179">
        <v>494</v>
      </c>
      <c r="G329" s="179">
        <v>495</v>
      </c>
      <c r="H329" s="85">
        <v>3000</v>
      </c>
    </row>
    <row r="330" spans="1:8" x14ac:dyDescent="0.2">
      <c r="A330" t="s">
        <v>147</v>
      </c>
      <c r="B330" s="180">
        <v>45014</v>
      </c>
      <c r="C330" s="181">
        <v>0.3923611111111111</v>
      </c>
      <c r="D330" s="179">
        <v>494</v>
      </c>
      <c r="E330" s="179">
        <v>495</v>
      </c>
      <c r="F330" s="179">
        <v>494</v>
      </c>
      <c r="G330" s="179">
        <v>494</v>
      </c>
      <c r="H330" s="85">
        <v>2300</v>
      </c>
    </row>
    <row r="331" spans="1:8" x14ac:dyDescent="0.2">
      <c r="A331" t="s">
        <v>147</v>
      </c>
      <c r="B331" s="180">
        <v>45014</v>
      </c>
      <c r="C331" s="181">
        <v>0.39305555555555555</v>
      </c>
      <c r="D331" s="179">
        <v>495</v>
      </c>
      <c r="E331" s="179">
        <v>495</v>
      </c>
      <c r="F331" s="179">
        <v>495</v>
      </c>
      <c r="G331" s="179">
        <v>495</v>
      </c>
      <c r="H331" s="85">
        <v>5800</v>
      </c>
    </row>
    <row r="332" spans="1:8" x14ac:dyDescent="0.2">
      <c r="A332" t="s">
        <v>147</v>
      </c>
      <c r="B332" s="180">
        <v>45014</v>
      </c>
      <c r="C332" s="181">
        <v>0.39374999999999999</v>
      </c>
      <c r="D332" s="179">
        <v>496</v>
      </c>
      <c r="E332" s="179">
        <v>496</v>
      </c>
      <c r="F332" s="179">
        <v>495</v>
      </c>
      <c r="G332" s="179">
        <v>495</v>
      </c>
      <c r="H332" s="85">
        <v>14000</v>
      </c>
    </row>
    <row r="333" spans="1:8" x14ac:dyDescent="0.2">
      <c r="A333" t="s">
        <v>147</v>
      </c>
      <c r="B333" s="180">
        <v>45014</v>
      </c>
      <c r="C333" s="181">
        <v>0.39444444444444443</v>
      </c>
      <c r="D333" s="179">
        <v>495</v>
      </c>
      <c r="E333" s="179">
        <v>496</v>
      </c>
      <c r="F333" s="179">
        <v>495</v>
      </c>
      <c r="G333" s="179">
        <v>496</v>
      </c>
      <c r="H333" s="85">
        <v>3700</v>
      </c>
    </row>
    <row r="334" spans="1:8" x14ac:dyDescent="0.2">
      <c r="A334" t="s">
        <v>147</v>
      </c>
      <c r="B334" s="180">
        <v>45014</v>
      </c>
      <c r="C334" s="181">
        <v>0.39513888888888887</v>
      </c>
      <c r="D334" s="179">
        <v>496</v>
      </c>
      <c r="E334" s="179">
        <v>496</v>
      </c>
      <c r="F334" s="179">
        <v>496</v>
      </c>
      <c r="G334" s="179">
        <v>496</v>
      </c>
      <c r="H334" s="85">
        <v>1000</v>
      </c>
    </row>
    <row r="335" spans="1:8" x14ac:dyDescent="0.2">
      <c r="A335" t="s">
        <v>147</v>
      </c>
      <c r="B335" s="180">
        <v>45014</v>
      </c>
      <c r="C335" s="181">
        <v>0.39583333333333331</v>
      </c>
      <c r="D335" s="179">
        <v>495</v>
      </c>
      <c r="E335" s="179">
        <v>495</v>
      </c>
      <c r="F335" s="179">
        <v>491</v>
      </c>
      <c r="G335" s="179">
        <v>491</v>
      </c>
      <c r="H335" s="85">
        <v>49700</v>
      </c>
    </row>
    <row r="336" spans="1:8" x14ac:dyDescent="0.2">
      <c r="A336" t="s">
        <v>147</v>
      </c>
      <c r="B336" s="180">
        <v>45014</v>
      </c>
      <c r="C336" s="181">
        <v>0.39652777777777781</v>
      </c>
      <c r="D336" s="179">
        <v>491</v>
      </c>
      <c r="E336" s="179">
        <v>492</v>
      </c>
      <c r="F336" s="179">
        <v>491</v>
      </c>
      <c r="G336" s="179">
        <v>492</v>
      </c>
      <c r="H336" s="85">
        <v>9800</v>
      </c>
    </row>
    <row r="337" spans="1:8" x14ac:dyDescent="0.2">
      <c r="A337" t="s">
        <v>147</v>
      </c>
      <c r="B337" s="180">
        <v>45014</v>
      </c>
      <c r="C337" s="181">
        <v>0.3972222222222222</v>
      </c>
      <c r="D337" s="179">
        <v>492</v>
      </c>
      <c r="E337" s="179">
        <v>492</v>
      </c>
      <c r="F337" s="179">
        <v>492</v>
      </c>
      <c r="G337" s="179">
        <v>492</v>
      </c>
      <c r="H337" s="85">
        <v>0</v>
      </c>
    </row>
    <row r="338" spans="1:8" x14ac:dyDescent="0.2">
      <c r="A338" t="s">
        <v>147</v>
      </c>
      <c r="B338" s="180">
        <v>45014</v>
      </c>
      <c r="C338" s="181">
        <v>0.3979166666666667</v>
      </c>
      <c r="D338" s="179">
        <v>492</v>
      </c>
      <c r="E338" s="179">
        <v>492</v>
      </c>
      <c r="F338" s="179">
        <v>492</v>
      </c>
      <c r="G338" s="179">
        <v>492</v>
      </c>
      <c r="H338" s="85">
        <v>200</v>
      </c>
    </row>
    <row r="339" spans="1:8" x14ac:dyDescent="0.2">
      <c r="A339" t="s">
        <v>147</v>
      </c>
      <c r="B339" s="180">
        <v>45014</v>
      </c>
      <c r="C339" s="181">
        <v>0.39861111111111108</v>
      </c>
      <c r="D339" s="179">
        <v>492</v>
      </c>
      <c r="E339" s="179">
        <v>493</v>
      </c>
      <c r="F339" s="179">
        <v>492</v>
      </c>
      <c r="G339" s="179">
        <v>492</v>
      </c>
      <c r="H339" s="85">
        <v>9600</v>
      </c>
    </row>
    <row r="340" spans="1:8" x14ac:dyDescent="0.2">
      <c r="A340" t="s">
        <v>147</v>
      </c>
      <c r="B340" s="180">
        <v>45014</v>
      </c>
      <c r="C340" s="181">
        <v>0.39930555555555558</v>
      </c>
      <c r="D340" s="179">
        <v>491</v>
      </c>
      <c r="E340" s="179">
        <v>492</v>
      </c>
      <c r="F340" s="179">
        <v>491</v>
      </c>
      <c r="G340" s="179">
        <v>492</v>
      </c>
      <c r="H340" s="85">
        <v>4000</v>
      </c>
    </row>
    <row r="341" spans="1:8" x14ac:dyDescent="0.2">
      <c r="A341" t="s">
        <v>147</v>
      </c>
      <c r="B341" s="180">
        <v>45014</v>
      </c>
      <c r="C341" s="181">
        <v>0.39999999999999997</v>
      </c>
      <c r="D341" s="179">
        <v>492</v>
      </c>
      <c r="E341" s="179">
        <v>493</v>
      </c>
      <c r="F341" s="179">
        <v>492</v>
      </c>
      <c r="G341" s="179">
        <v>492</v>
      </c>
      <c r="H341" s="85">
        <v>6600</v>
      </c>
    </row>
    <row r="342" spans="1:8" x14ac:dyDescent="0.2">
      <c r="A342" t="s">
        <v>147</v>
      </c>
      <c r="B342" s="180">
        <v>45014</v>
      </c>
      <c r="C342" s="181">
        <v>0.40069444444444446</v>
      </c>
      <c r="D342" s="179">
        <v>492</v>
      </c>
      <c r="E342" s="179">
        <v>493</v>
      </c>
      <c r="F342" s="179">
        <v>491</v>
      </c>
      <c r="G342" s="179">
        <v>493</v>
      </c>
      <c r="H342" s="85">
        <v>15000</v>
      </c>
    </row>
    <row r="343" spans="1:8" x14ac:dyDescent="0.2">
      <c r="A343" t="s">
        <v>147</v>
      </c>
      <c r="B343" s="180">
        <v>45014</v>
      </c>
      <c r="C343" s="181">
        <v>0.40138888888888885</v>
      </c>
      <c r="D343" s="179">
        <v>493</v>
      </c>
      <c r="E343" s="179">
        <v>493</v>
      </c>
      <c r="F343" s="179">
        <v>492</v>
      </c>
      <c r="G343" s="179">
        <v>492</v>
      </c>
      <c r="H343" s="85">
        <v>5400</v>
      </c>
    </row>
    <row r="344" spans="1:8" x14ac:dyDescent="0.2">
      <c r="A344" t="s">
        <v>147</v>
      </c>
      <c r="B344" s="180">
        <v>45014</v>
      </c>
      <c r="C344" s="181">
        <v>0.40208333333333335</v>
      </c>
      <c r="D344" s="179">
        <v>492</v>
      </c>
      <c r="E344" s="179">
        <v>493</v>
      </c>
      <c r="F344" s="179">
        <v>492</v>
      </c>
      <c r="G344" s="179">
        <v>493</v>
      </c>
      <c r="H344" s="85">
        <v>9600</v>
      </c>
    </row>
    <row r="345" spans="1:8" x14ac:dyDescent="0.2">
      <c r="A345" t="s">
        <v>147</v>
      </c>
      <c r="B345" s="180">
        <v>45014</v>
      </c>
      <c r="C345" s="181">
        <v>0.40277777777777773</v>
      </c>
      <c r="D345" s="179">
        <v>492</v>
      </c>
      <c r="E345" s="179">
        <v>494</v>
      </c>
      <c r="F345" s="179">
        <v>492</v>
      </c>
      <c r="G345" s="179">
        <v>494</v>
      </c>
      <c r="H345" s="85">
        <v>5700</v>
      </c>
    </row>
    <row r="346" spans="1:8" x14ac:dyDescent="0.2">
      <c r="A346" t="s">
        <v>147</v>
      </c>
      <c r="B346" s="180">
        <v>45014</v>
      </c>
      <c r="C346" s="181">
        <v>0.40347222222222223</v>
      </c>
      <c r="D346" s="179">
        <v>494</v>
      </c>
      <c r="E346" s="179">
        <v>494</v>
      </c>
      <c r="F346" s="179">
        <v>494</v>
      </c>
      <c r="G346" s="179">
        <v>494</v>
      </c>
      <c r="H346" s="85">
        <v>5400</v>
      </c>
    </row>
    <row r="347" spans="1:8" x14ac:dyDescent="0.2">
      <c r="A347" t="s">
        <v>147</v>
      </c>
      <c r="B347" s="180">
        <v>45014</v>
      </c>
      <c r="C347" s="181">
        <v>0.40416666666666662</v>
      </c>
      <c r="D347" s="179">
        <v>494</v>
      </c>
      <c r="E347" s="179">
        <v>494</v>
      </c>
      <c r="F347" s="179">
        <v>494</v>
      </c>
      <c r="G347" s="179">
        <v>494</v>
      </c>
      <c r="H347" s="85">
        <v>2900</v>
      </c>
    </row>
    <row r="348" spans="1:8" x14ac:dyDescent="0.2">
      <c r="A348" t="s">
        <v>147</v>
      </c>
      <c r="B348" s="180">
        <v>45014</v>
      </c>
      <c r="C348" s="181">
        <v>0.40486111111111112</v>
      </c>
      <c r="D348" s="179">
        <v>495</v>
      </c>
      <c r="E348" s="179">
        <v>495</v>
      </c>
      <c r="F348" s="179">
        <v>494</v>
      </c>
      <c r="G348" s="179">
        <v>495</v>
      </c>
      <c r="H348" s="85">
        <v>15000</v>
      </c>
    </row>
    <row r="349" spans="1:8" x14ac:dyDescent="0.2">
      <c r="A349" t="s">
        <v>147</v>
      </c>
      <c r="B349" s="180">
        <v>45014</v>
      </c>
      <c r="C349" s="181">
        <v>0.4055555555555555</v>
      </c>
      <c r="D349" s="179">
        <v>495</v>
      </c>
      <c r="E349" s="179">
        <v>495</v>
      </c>
      <c r="F349" s="179">
        <v>493</v>
      </c>
      <c r="G349" s="179">
        <v>495</v>
      </c>
      <c r="H349" s="85">
        <v>17400</v>
      </c>
    </row>
    <row r="350" spans="1:8" x14ac:dyDescent="0.2">
      <c r="A350" t="s">
        <v>147</v>
      </c>
      <c r="B350" s="180">
        <v>45014</v>
      </c>
      <c r="C350" s="181">
        <v>0.40625</v>
      </c>
      <c r="D350" s="179">
        <v>495</v>
      </c>
      <c r="E350" s="179">
        <v>495</v>
      </c>
      <c r="F350" s="179">
        <v>494</v>
      </c>
      <c r="G350" s="179">
        <v>495</v>
      </c>
      <c r="H350" s="85">
        <v>10500</v>
      </c>
    </row>
    <row r="351" spans="1:8" x14ac:dyDescent="0.2">
      <c r="A351" t="s">
        <v>147</v>
      </c>
      <c r="B351" s="180">
        <v>45014</v>
      </c>
      <c r="C351" s="181">
        <v>0.4069444444444445</v>
      </c>
      <c r="D351" s="179">
        <v>494</v>
      </c>
      <c r="E351" s="179">
        <v>494</v>
      </c>
      <c r="F351" s="179">
        <v>494</v>
      </c>
      <c r="G351" s="179">
        <v>494</v>
      </c>
      <c r="H351" s="85">
        <v>900</v>
      </c>
    </row>
    <row r="352" spans="1:8" x14ac:dyDescent="0.2">
      <c r="A352" t="s">
        <v>147</v>
      </c>
      <c r="B352" s="180">
        <v>45014</v>
      </c>
      <c r="C352" s="181">
        <v>0.40763888888888888</v>
      </c>
      <c r="D352" s="179">
        <v>494</v>
      </c>
      <c r="E352" s="179">
        <v>495</v>
      </c>
      <c r="F352" s="179">
        <v>493</v>
      </c>
      <c r="G352" s="179">
        <v>493</v>
      </c>
      <c r="H352" s="85">
        <v>1400</v>
      </c>
    </row>
    <row r="353" spans="1:8" x14ac:dyDescent="0.2">
      <c r="A353" t="s">
        <v>147</v>
      </c>
      <c r="B353" s="180">
        <v>45014</v>
      </c>
      <c r="C353" s="181">
        <v>0.40833333333333338</v>
      </c>
      <c r="D353" s="179">
        <v>494</v>
      </c>
      <c r="E353" s="179">
        <v>494</v>
      </c>
      <c r="F353" s="179">
        <v>493</v>
      </c>
      <c r="G353" s="179">
        <v>494</v>
      </c>
      <c r="H353" s="85">
        <v>4400</v>
      </c>
    </row>
    <row r="354" spans="1:8" x14ac:dyDescent="0.2">
      <c r="A354" t="s">
        <v>147</v>
      </c>
      <c r="B354" s="180">
        <v>45014</v>
      </c>
      <c r="C354" s="181">
        <v>0.40902777777777777</v>
      </c>
      <c r="D354" s="179">
        <v>494</v>
      </c>
      <c r="E354" s="179">
        <v>494</v>
      </c>
      <c r="F354" s="179">
        <v>494</v>
      </c>
      <c r="G354" s="179">
        <v>494</v>
      </c>
      <c r="H354" s="85">
        <v>0</v>
      </c>
    </row>
    <row r="355" spans="1:8" x14ac:dyDescent="0.2">
      <c r="A355" t="s">
        <v>147</v>
      </c>
      <c r="B355" s="180">
        <v>45014</v>
      </c>
      <c r="C355" s="181">
        <v>0.40972222222222227</v>
      </c>
      <c r="D355" s="179">
        <v>494</v>
      </c>
      <c r="E355" s="179">
        <v>495</v>
      </c>
      <c r="F355" s="179">
        <v>494</v>
      </c>
      <c r="G355" s="179">
        <v>494</v>
      </c>
      <c r="H355" s="85">
        <v>8700</v>
      </c>
    </row>
    <row r="356" spans="1:8" x14ac:dyDescent="0.2">
      <c r="A356" t="s">
        <v>147</v>
      </c>
      <c r="B356" s="180">
        <v>45014</v>
      </c>
      <c r="C356" s="181">
        <v>0.41041666666666665</v>
      </c>
      <c r="D356" s="179">
        <v>494</v>
      </c>
      <c r="E356" s="179">
        <v>495</v>
      </c>
      <c r="F356" s="179">
        <v>494</v>
      </c>
      <c r="G356" s="179">
        <v>494</v>
      </c>
      <c r="H356" s="85">
        <v>3300</v>
      </c>
    </row>
    <row r="357" spans="1:8" x14ac:dyDescent="0.2">
      <c r="A357" t="s">
        <v>147</v>
      </c>
      <c r="B357" s="180">
        <v>45014</v>
      </c>
      <c r="C357" s="181">
        <v>0.41111111111111115</v>
      </c>
      <c r="D357" s="179">
        <v>495</v>
      </c>
      <c r="E357" s="179">
        <v>495</v>
      </c>
      <c r="F357" s="179">
        <v>494</v>
      </c>
      <c r="G357" s="179">
        <v>495</v>
      </c>
      <c r="H357" s="85">
        <v>17700</v>
      </c>
    </row>
    <row r="358" spans="1:8" x14ac:dyDescent="0.2">
      <c r="A358" t="s">
        <v>147</v>
      </c>
      <c r="B358" s="180">
        <v>45014</v>
      </c>
      <c r="C358" s="181">
        <v>0.41180555555555554</v>
      </c>
      <c r="D358" s="179">
        <v>495</v>
      </c>
      <c r="E358" s="179">
        <v>495</v>
      </c>
      <c r="F358" s="179">
        <v>495</v>
      </c>
      <c r="G358" s="179">
        <v>495</v>
      </c>
      <c r="H358" s="85">
        <v>300</v>
      </c>
    </row>
    <row r="359" spans="1:8" x14ac:dyDescent="0.2">
      <c r="A359" t="s">
        <v>147</v>
      </c>
      <c r="B359" s="180">
        <v>45014</v>
      </c>
      <c r="C359" s="181">
        <v>0.41250000000000003</v>
      </c>
      <c r="D359" s="179">
        <v>494</v>
      </c>
      <c r="E359" s="179">
        <v>495</v>
      </c>
      <c r="F359" s="179">
        <v>493</v>
      </c>
      <c r="G359" s="179">
        <v>495</v>
      </c>
      <c r="H359" s="85">
        <v>10700</v>
      </c>
    </row>
    <row r="360" spans="1:8" x14ac:dyDescent="0.2">
      <c r="A360" t="s">
        <v>147</v>
      </c>
      <c r="B360" s="180">
        <v>45014</v>
      </c>
      <c r="C360" s="181">
        <v>0.41319444444444442</v>
      </c>
      <c r="D360" s="179">
        <v>494</v>
      </c>
      <c r="E360" s="179">
        <v>495</v>
      </c>
      <c r="F360" s="179">
        <v>493</v>
      </c>
      <c r="G360" s="179">
        <v>493</v>
      </c>
      <c r="H360" s="85">
        <v>4500</v>
      </c>
    </row>
    <row r="361" spans="1:8" x14ac:dyDescent="0.2">
      <c r="A361" t="s">
        <v>147</v>
      </c>
      <c r="B361" s="180">
        <v>45014</v>
      </c>
      <c r="C361" s="181">
        <v>0.41388888888888892</v>
      </c>
      <c r="D361" s="179">
        <v>495</v>
      </c>
      <c r="E361" s="179">
        <v>495</v>
      </c>
      <c r="F361" s="179">
        <v>495</v>
      </c>
      <c r="G361" s="179">
        <v>495</v>
      </c>
      <c r="H361" s="85">
        <v>1000</v>
      </c>
    </row>
    <row r="362" spans="1:8" x14ac:dyDescent="0.2">
      <c r="A362" t="s">
        <v>147</v>
      </c>
      <c r="B362" s="180">
        <v>45014</v>
      </c>
      <c r="C362" s="181">
        <v>0.4145833333333333</v>
      </c>
      <c r="D362" s="179">
        <v>494</v>
      </c>
      <c r="E362" s="179">
        <v>495</v>
      </c>
      <c r="F362" s="179">
        <v>494</v>
      </c>
      <c r="G362" s="179">
        <v>495</v>
      </c>
      <c r="H362" s="85">
        <v>6000</v>
      </c>
    </row>
    <row r="363" spans="1:8" x14ac:dyDescent="0.2">
      <c r="A363" t="s">
        <v>147</v>
      </c>
      <c r="B363" s="180">
        <v>45014</v>
      </c>
      <c r="C363" s="181">
        <v>0.4152777777777778</v>
      </c>
      <c r="D363" s="179">
        <v>494</v>
      </c>
      <c r="E363" s="179">
        <v>494</v>
      </c>
      <c r="F363" s="179">
        <v>494</v>
      </c>
      <c r="G363" s="179">
        <v>494</v>
      </c>
      <c r="H363" s="85">
        <v>3700</v>
      </c>
    </row>
    <row r="364" spans="1:8" x14ac:dyDescent="0.2">
      <c r="A364" t="s">
        <v>147</v>
      </c>
      <c r="B364" s="180">
        <v>45014</v>
      </c>
      <c r="C364" s="181">
        <v>0.41597222222222219</v>
      </c>
      <c r="D364" s="179">
        <v>494</v>
      </c>
      <c r="E364" s="179">
        <v>496</v>
      </c>
      <c r="F364" s="179">
        <v>494</v>
      </c>
      <c r="G364" s="179">
        <v>495</v>
      </c>
      <c r="H364" s="85">
        <v>42300</v>
      </c>
    </row>
    <row r="365" spans="1:8" x14ac:dyDescent="0.2">
      <c r="A365" t="s">
        <v>147</v>
      </c>
      <c r="B365" s="180">
        <v>45014</v>
      </c>
      <c r="C365" s="181">
        <v>0.41666666666666669</v>
      </c>
      <c r="D365" s="179">
        <v>495</v>
      </c>
      <c r="E365" s="179">
        <v>495</v>
      </c>
      <c r="F365" s="179">
        <v>494</v>
      </c>
      <c r="G365" s="179">
        <v>494</v>
      </c>
      <c r="H365" s="85">
        <v>400</v>
      </c>
    </row>
    <row r="366" spans="1:8" x14ac:dyDescent="0.2">
      <c r="A366" t="s">
        <v>147</v>
      </c>
      <c r="B366" s="180">
        <v>45014</v>
      </c>
      <c r="C366" s="181">
        <v>0.41736111111111113</v>
      </c>
      <c r="D366" s="179">
        <v>495</v>
      </c>
      <c r="E366" s="179">
        <v>495</v>
      </c>
      <c r="F366" s="179">
        <v>494</v>
      </c>
      <c r="G366" s="179">
        <v>494</v>
      </c>
      <c r="H366" s="85">
        <v>1400</v>
      </c>
    </row>
    <row r="367" spans="1:8" x14ac:dyDescent="0.2">
      <c r="A367" t="s">
        <v>147</v>
      </c>
      <c r="B367" s="180">
        <v>45014</v>
      </c>
      <c r="C367" s="181">
        <v>0.41805555555555557</v>
      </c>
      <c r="D367" s="179">
        <v>494</v>
      </c>
      <c r="E367" s="179">
        <v>494</v>
      </c>
      <c r="F367" s="179">
        <v>494</v>
      </c>
      <c r="G367" s="179">
        <v>494</v>
      </c>
      <c r="H367" s="85">
        <v>0</v>
      </c>
    </row>
    <row r="368" spans="1:8" x14ac:dyDescent="0.2">
      <c r="A368" t="s">
        <v>147</v>
      </c>
      <c r="B368" s="180">
        <v>45014</v>
      </c>
      <c r="C368" s="181">
        <v>0.41875000000000001</v>
      </c>
      <c r="D368" s="179">
        <v>494</v>
      </c>
      <c r="E368" s="179">
        <v>494</v>
      </c>
      <c r="F368" s="179">
        <v>494</v>
      </c>
      <c r="G368" s="179">
        <v>494</v>
      </c>
      <c r="H368" s="85">
        <v>300</v>
      </c>
    </row>
    <row r="369" spans="1:8" x14ac:dyDescent="0.2">
      <c r="A369" t="s">
        <v>147</v>
      </c>
      <c r="B369" s="180">
        <v>45014</v>
      </c>
      <c r="C369" s="181">
        <v>0.41944444444444445</v>
      </c>
      <c r="D369" s="179">
        <v>494</v>
      </c>
      <c r="E369" s="179">
        <v>495</v>
      </c>
      <c r="F369" s="179">
        <v>494</v>
      </c>
      <c r="G369" s="179">
        <v>495</v>
      </c>
      <c r="H369" s="85">
        <v>7300</v>
      </c>
    </row>
    <row r="370" spans="1:8" x14ac:dyDescent="0.2">
      <c r="A370" t="s">
        <v>147</v>
      </c>
      <c r="B370" s="180">
        <v>45014</v>
      </c>
      <c r="C370" s="181">
        <v>0.4201388888888889</v>
      </c>
      <c r="D370" s="179">
        <v>494</v>
      </c>
      <c r="E370" s="179">
        <v>495</v>
      </c>
      <c r="F370" s="179">
        <v>494</v>
      </c>
      <c r="G370" s="179">
        <v>495</v>
      </c>
      <c r="H370" s="85">
        <v>4300</v>
      </c>
    </row>
    <row r="371" spans="1:8" x14ac:dyDescent="0.2">
      <c r="A371" t="s">
        <v>147</v>
      </c>
      <c r="B371" s="180">
        <v>45014</v>
      </c>
      <c r="C371" s="181">
        <v>0.42083333333333334</v>
      </c>
      <c r="D371" s="179">
        <v>494</v>
      </c>
      <c r="E371" s="179">
        <v>495</v>
      </c>
      <c r="F371" s="179">
        <v>494</v>
      </c>
      <c r="G371" s="179">
        <v>495</v>
      </c>
      <c r="H371" s="85">
        <v>2300</v>
      </c>
    </row>
    <row r="372" spans="1:8" x14ac:dyDescent="0.2">
      <c r="A372" t="s">
        <v>147</v>
      </c>
      <c r="B372" s="180">
        <v>45014</v>
      </c>
      <c r="C372" s="181">
        <v>0.42152777777777778</v>
      </c>
      <c r="D372" s="179">
        <v>494</v>
      </c>
      <c r="E372" s="179">
        <v>494</v>
      </c>
      <c r="F372" s="179">
        <v>493</v>
      </c>
      <c r="G372" s="179">
        <v>493</v>
      </c>
      <c r="H372" s="85">
        <v>17500</v>
      </c>
    </row>
    <row r="373" spans="1:8" x14ac:dyDescent="0.2">
      <c r="A373" t="s">
        <v>147</v>
      </c>
      <c r="B373" s="180">
        <v>45014</v>
      </c>
      <c r="C373" s="181">
        <v>0.42222222222222222</v>
      </c>
      <c r="D373" s="179">
        <v>494</v>
      </c>
      <c r="E373" s="179">
        <v>494</v>
      </c>
      <c r="F373" s="179">
        <v>494</v>
      </c>
      <c r="G373" s="179">
        <v>494</v>
      </c>
      <c r="H373" s="85">
        <v>1300</v>
      </c>
    </row>
    <row r="374" spans="1:8" x14ac:dyDescent="0.2">
      <c r="A374" t="s">
        <v>147</v>
      </c>
      <c r="B374" s="180">
        <v>45014</v>
      </c>
      <c r="C374" s="181">
        <v>0.42291666666666666</v>
      </c>
      <c r="D374" s="179">
        <v>494</v>
      </c>
      <c r="E374" s="179">
        <v>494</v>
      </c>
      <c r="F374" s="179">
        <v>494</v>
      </c>
      <c r="G374" s="179">
        <v>494</v>
      </c>
      <c r="H374" s="85">
        <v>1200</v>
      </c>
    </row>
    <row r="375" spans="1:8" x14ac:dyDescent="0.2">
      <c r="A375" t="s">
        <v>147</v>
      </c>
      <c r="B375" s="180">
        <v>45014</v>
      </c>
      <c r="C375" s="181">
        <v>0.4236111111111111</v>
      </c>
      <c r="D375" s="179">
        <v>494</v>
      </c>
      <c r="E375" s="179">
        <v>494</v>
      </c>
      <c r="F375" s="179">
        <v>493</v>
      </c>
      <c r="G375" s="179">
        <v>493</v>
      </c>
      <c r="H375" s="85">
        <v>1500</v>
      </c>
    </row>
    <row r="376" spans="1:8" x14ac:dyDescent="0.2">
      <c r="A376" t="s">
        <v>147</v>
      </c>
      <c r="B376" s="180">
        <v>45014</v>
      </c>
      <c r="C376" s="181">
        <v>0.42430555555555555</v>
      </c>
      <c r="D376" s="179">
        <v>493</v>
      </c>
      <c r="E376" s="179">
        <v>494</v>
      </c>
      <c r="F376" s="179">
        <v>493</v>
      </c>
      <c r="G376" s="179">
        <v>494</v>
      </c>
      <c r="H376" s="85">
        <v>1000</v>
      </c>
    </row>
    <row r="377" spans="1:8" x14ac:dyDescent="0.2">
      <c r="A377" t="s">
        <v>147</v>
      </c>
      <c r="B377" s="180">
        <v>45014</v>
      </c>
      <c r="C377" s="181">
        <v>0.42499999999999999</v>
      </c>
      <c r="D377" s="179">
        <v>494</v>
      </c>
      <c r="E377" s="179">
        <v>494</v>
      </c>
      <c r="F377" s="179">
        <v>494</v>
      </c>
      <c r="G377" s="179">
        <v>494</v>
      </c>
      <c r="H377" s="85">
        <v>1500</v>
      </c>
    </row>
    <row r="378" spans="1:8" x14ac:dyDescent="0.2">
      <c r="A378" t="s">
        <v>147</v>
      </c>
      <c r="B378" s="180">
        <v>45014</v>
      </c>
      <c r="C378" s="181">
        <v>0.42569444444444443</v>
      </c>
      <c r="D378" s="179">
        <v>493</v>
      </c>
      <c r="E378" s="179">
        <v>494</v>
      </c>
      <c r="F378" s="179">
        <v>493</v>
      </c>
      <c r="G378" s="179">
        <v>493</v>
      </c>
      <c r="H378" s="85">
        <v>26200</v>
      </c>
    </row>
    <row r="379" spans="1:8" x14ac:dyDescent="0.2">
      <c r="A379" t="s">
        <v>147</v>
      </c>
      <c r="B379" s="180">
        <v>45014</v>
      </c>
      <c r="C379" s="181">
        <v>0.42638888888888887</v>
      </c>
      <c r="D379" s="179">
        <v>492</v>
      </c>
      <c r="E379" s="179">
        <v>492</v>
      </c>
      <c r="F379" s="179">
        <v>490</v>
      </c>
      <c r="G379" s="179">
        <v>490</v>
      </c>
      <c r="H379" s="85">
        <v>29600</v>
      </c>
    </row>
    <row r="380" spans="1:8" x14ac:dyDescent="0.2">
      <c r="A380" t="s">
        <v>147</v>
      </c>
      <c r="B380" s="180">
        <v>45014</v>
      </c>
      <c r="C380" s="181">
        <v>0.42708333333333331</v>
      </c>
      <c r="D380" s="179">
        <v>490</v>
      </c>
      <c r="E380" s="179">
        <v>491</v>
      </c>
      <c r="F380" s="179">
        <v>489</v>
      </c>
      <c r="G380" s="179">
        <v>491</v>
      </c>
      <c r="H380" s="85">
        <v>31900</v>
      </c>
    </row>
    <row r="381" spans="1:8" x14ac:dyDescent="0.2">
      <c r="A381" t="s">
        <v>147</v>
      </c>
      <c r="B381" s="180">
        <v>45014</v>
      </c>
      <c r="C381" s="181">
        <v>0.42777777777777781</v>
      </c>
      <c r="D381" s="179">
        <v>491</v>
      </c>
      <c r="E381" s="179">
        <v>492</v>
      </c>
      <c r="F381" s="179">
        <v>491</v>
      </c>
      <c r="G381" s="179">
        <v>491</v>
      </c>
      <c r="H381" s="85">
        <v>10500</v>
      </c>
    </row>
    <row r="382" spans="1:8" x14ac:dyDescent="0.2">
      <c r="A382" t="s">
        <v>147</v>
      </c>
      <c r="B382" s="180">
        <v>45014</v>
      </c>
      <c r="C382" s="181">
        <v>0.4284722222222222</v>
      </c>
      <c r="D382" s="179">
        <v>491</v>
      </c>
      <c r="E382" s="179">
        <v>491</v>
      </c>
      <c r="F382" s="179">
        <v>490</v>
      </c>
      <c r="G382" s="179">
        <v>490</v>
      </c>
      <c r="H382" s="85">
        <v>4000</v>
      </c>
    </row>
    <row r="383" spans="1:8" x14ac:dyDescent="0.2">
      <c r="A383" t="s">
        <v>147</v>
      </c>
      <c r="B383" s="180">
        <v>45014</v>
      </c>
      <c r="C383" s="181">
        <v>0.4291666666666667</v>
      </c>
      <c r="D383" s="179">
        <v>490</v>
      </c>
      <c r="E383" s="179">
        <v>491</v>
      </c>
      <c r="F383" s="179">
        <v>490</v>
      </c>
      <c r="G383" s="179">
        <v>490</v>
      </c>
      <c r="H383" s="85">
        <v>18800</v>
      </c>
    </row>
    <row r="384" spans="1:8" x14ac:dyDescent="0.2">
      <c r="A384" t="s">
        <v>147</v>
      </c>
      <c r="B384" s="180">
        <v>45014</v>
      </c>
      <c r="C384" s="181">
        <v>0.42986111111111108</v>
      </c>
      <c r="D384" s="179">
        <v>490</v>
      </c>
      <c r="E384" s="179">
        <v>491</v>
      </c>
      <c r="F384" s="179">
        <v>490</v>
      </c>
      <c r="G384" s="179">
        <v>490</v>
      </c>
      <c r="H384" s="85">
        <v>14900</v>
      </c>
    </row>
    <row r="385" spans="1:8" x14ac:dyDescent="0.2">
      <c r="A385" t="s">
        <v>147</v>
      </c>
      <c r="B385" s="180">
        <v>45014</v>
      </c>
      <c r="C385" s="181">
        <v>0.43055555555555558</v>
      </c>
      <c r="D385" s="179">
        <v>489</v>
      </c>
      <c r="E385" s="179">
        <v>489</v>
      </c>
      <c r="F385" s="179">
        <v>489</v>
      </c>
      <c r="G385" s="179">
        <v>489</v>
      </c>
      <c r="H385" s="85">
        <v>1500</v>
      </c>
    </row>
    <row r="386" spans="1:8" x14ac:dyDescent="0.2">
      <c r="A386" t="s">
        <v>147</v>
      </c>
      <c r="B386" s="180">
        <v>45014</v>
      </c>
      <c r="C386" s="181">
        <v>0.43124999999999997</v>
      </c>
      <c r="D386" s="179">
        <v>490</v>
      </c>
      <c r="E386" s="179">
        <v>490</v>
      </c>
      <c r="F386" s="179">
        <v>488</v>
      </c>
      <c r="G386" s="179">
        <v>489</v>
      </c>
      <c r="H386" s="85">
        <v>14600</v>
      </c>
    </row>
    <row r="387" spans="1:8" x14ac:dyDescent="0.2">
      <c r="A387" t="s">
        <v>147</v>
      </c>
      <c r="B387" s="180">
        <v>45014</v>
      </c>
      <c r="C387" s="181">
        <v>0.43194444444444446</v>
      </c>
      <c r="D387" s="179">
        <v>489</v>
      </c>
      <c r="E387" s="179">
        <v>490</v>
      </c>
      <c r="F387" s="179">
        <v>488</v>
      </c>
      <c r="G387" s="179">
        <v>490</v>
      </c>
      <c r="H387" s="85">
        <v>11900</v>
      </c>
    </row>
    <row r="388" spans="1:8" x14ac:dyDescent="0.2">
      <c r="A388" t="s">
        <v>147</v>
      </c>
      <c r="B388" s="180">
        <v>45014</v>
      </c>
      <c r="C388" s="181">
        <v>0.43263888888888885</v>
      </c>
      <c r="D388" s="179">
        <v>490</v>
      </c>
      <c r="E388" s="179">
        <v>491</v>
      </c>
      <c r="F388" s="179">
        <v>490</v>
      </c>
      <c r="G388" s="179">
        <v>491</v>
      </c>
      <c r="H388" s="85">
        <v>34800</v>
      </c>
    </row>
    <row r="389" spans="1:8" x14ac:dyDescent="0.2">
      <c r="A389" t="s">
        <v>147</v>
      </c>
      <c r="B389" s="180">
        <v>45014</v>
      </c>
      <c r="C389" s="181">
        <v>0.43333333333333335</v>
      </c>
      <c r="D389" s="179">
        <v>490</v>
      </c>
      <c r="E389" s="179">
        <v>491</v>
      </c>
      <c r="F389" s="179">
        <v>490</v>
      </c>
      <c r="G389" s="179">
        <v>491</v>
      </c>
      <c r="H389" s="85">
        <v>1100</v>
      </c>
    </row>
    <row r="390" spans="1:8" x14ac:dyDescent="0.2">
      <c r="A390" t="s">
        <v>147</v>
      </c>
      <c r="B390" s="180">
        <v>45014</v>
      </c>
      <c r="C390" s="181">
        <v>0.43402777777777773</v>
      </c>
      <c r="D390" s="179">
        <v>490</v>
      </c>
      <c r="E390" s="179">
        <v>491</v>
      </c>
      <c r="F390" s="179">
        <v>488</v>
      </c>
      <c r="G390" s="179">
        <v>488</v>
      </c>
      <c r="H390" s="85">
        <v>51300</v>
      </c>
    </row>
    <row r="391" spans="1:8" x14ac:dyDescent="0.2">
      <c r="A391" t="s">
        <v>147</v>
      </c>
      <c r="B391" s="180">
        <v>45014</v>
      </c>
      <c r="C391" s="181">
        <v>0.43472222222222223</v>
      </c>
      <c r="D391" s="179">
        <v>488</v>
      </c>
      <c r="E391" s="179">
        <v>488</v>
      </c>
      <c r="F391" s="179">
        <v>488</v>
      </c>
      <c r="G391" s="179">
        <v>488</v>
      </c>
      <c r="H391" s="85">
        <v>1100</v>
      </c>
    </row>
    <row r="392" spans="1:8" x14ac:dyDescent="0.2">
      <c r="A392" t="s">
        <v>147</v>
      </c>
      <c r="B392" s="180">
        <v>45014</v>
      </c>
      <c r="C392" s="181">
        <v>0.43541666666666662</v>
      </c>
      <c r="D392" s="179">
        <v>489</v>
      </c>
      <c r="E392" s="179">
        <v>489</v>
      </c>
      <c r="F392" s="179">
        <v>488</v>
      </c>
      <c r="G392" s="179">
        <v>489</v>
      </c>
      <c r="H392" s="85">
        <v>8700</v>
      </c>
    </row>
    <row r="393" spans="1:8" x14ac:dyDescent="0.2">
      <c r="A393" t="s">
        <v>147</v>
      </c>
      <c r="B393" s="180">
        <v>45014</v>
      </c>
      <c r="C393" s="181">
        <v>0.43611111111111112</v>
      </c>
      <c r="D393" s="179">
        <v>488</v>
      </c>
      <c r="E393" s="179">
        <v>488</v>
      </c>
      <c r="F393" s="179">
        <v>488</v>
      </c>
      <c r="G393" s="179">
        <v>488</v>
      </c>
      <c r="H393" s="85">
        <v>2900</v>
      </c>
    </row>
    <row r="394" spans="1:8" x14ac:dyDescent="0.2">
      <c r="A394" t="s">
        <v>147</v>
      </c>
      <c r="B394" s="180">
        <v>45014</v>
      </c>
      <c r="C394" s="181">
        <v>0.4368055555555555</v>
      </c>
      <c r="D394" s="179">
        <v>488</v>
      </c>
      <c r="E394" s="179">
        <v>488</v>
      </c>
      <c r="F394" s="179">
        <v>487</v>
      </c>
      <c r="G394" s="179">
        <v>488</v>
      </c>
      <c r="H394" s="85">
        <v>11100</v>
      </c>
    </row>
    <row r="395" spans="1:8" x14ac:dyDescent="0.2">
      <c r="A395" t="s">
        <v>147</v>
      </c>
      <c r="B395" s="180">
        <v>45014</v>
      </c>
      <c r="C395" s="181">
        <v>0.4375</v>
      </c>
      <c r="D395" s="179">
        <v>488</v>
      </c>
      <c r="E395" s="179">
        <v>489</v>
      </c>
      <c r="F395" s="179">
        <v>488</v>
      </c>
      <c r="G395" s="179">
        <v>489</v>
      </c>
      <c r="H395" s="85">
        <v>4700</v>
      </c>
    </row>
    <row r="396" spans="1:8" x14ac:dyDescent="0.2">
      <c r="A396" t="s">
        <v>147</v>
      </c>
      <c r="B396" s="180">
        <v>45014</v>
      </c>
      <c r="C396" s="181">
        <v>0.4381944444444445</v>
      </c>
      <c r="D396" s="179">
        <v>488</v>
      </c>
      <c r="E396" s="179">
        <v>489</v>
      </c>
      <c r="F396" s="179">
        <v>487</v>
      </c>
      <c r="G396" s="179">
        <v>487</v>
      </c>
      <c r="H396" s="85">
        <v>5200</v>
      </c>
    </row>
    <row r="397" spans="1:8" x14ac:dyDescent="0.2">
      <c r="A397" t="s">
        <v>147</v>
      </c>
      <c r="B397" s="180">
        <v>45014</v>
      </c>
      <c r="C397" s="181">
        <v>0.43888888888888888</v>
      </c>
      <c r="D397" s="179">
        <v>487</v>
      </c>
      <c r="E397" s="179">
        <v>488</v>
      </c>
      <c r="F397" s="179">
        <v>487</v>
      </c>
      <c r="G397" s="179">
        <v>488</v>
      </c>
      <c r="H397" s="85">
        <v>1500</v>
      </c>
    </row>
    <row r="398" spans="1:8" x14ac:dyDescent="0.2">
      <c r="A398" t="s">
        <v>147</v>
      </c>
      <c r="B398" s="180">
        <v>45014</v>
      </c>
      <c r="C398" s="181">
        <v>0.43958333333333338</v>
      </c>
      <c r="D398" s="179">
        <v>487</v>
      </c>
      <c r="E398" s="179">
        <v>489</v>
      </c>
      <c r="F398" s="179">
        <v>487</v>
      </c>
      <c r="G398" s="179">
        <v>488</v>
      </c>
      <c r="H398" s="85">
        <v>21800</v>
      </c>
    </row>
    <row r="399" spans="1:8" x14ac:dyDescent="0.2">
      <c r="A399" t="s">
        <v>147</v>
      </c>
      <c r="B399" s="180">
        <v>45014</v>
      </c>
      <c r="C399" s="181">
        <v>0.44027777777777777</v>
      </c>
      <c r="D399" s="179">
        <v>488</v>
      </c>
      <c r="E399" s="179">
        <v>488</v>
      </c>
      <c r="F399" s="179">
        <v>486</v>
      </c>
      <c r="G399" s="179">
        <v>486</v>
      </c>
      <c r="H399" s="85">
        <v>12200</v>
      </c>
    </row>
    <row r="400" spans="1:8" x14ac:dyDescent="0.2">
      <c r="A400" t="s">
        <v>147</v>
      </c>
      <c r="B400" s="180">
        <v>45014</v>
      </c>
      <c r="C400" s="181">
        <v>0.44097222222222227</v>
      </c>
      <c r="D400" s="179">
        <v>486</v>
      </c>
      <c r="E400" s="179">
        <v>486</v>
      </c>
      <c r="F400" s="179">
        <v>485</v>
      </c>
      <c r="G400" s="179">
        <v>486</v>
      </c>
      <c r="H400" s="85">
        <v>24000</v>
      </c>
    </row>
    <row r="401" spans="1:8" x14ac:dyDescent="0.2">
      <c r="A401" t="s">
        <v>147</v>
      </c>
      <c r="B401" s="180">
        <v>45014</v>
      </c>
      <c r="C401" s="181">
        <v>0.44166666666666665</v>
      </c>
      <c r="D401" s="179">
        <v>486</v>
      </c>
      <c r="E401" s="179">
        <v>486</v>
      </c>
      <c r="F401" s="179">
        <v>485</v>
      </c>
      <c r="G401" s="179">
        <v>486</v>
      </c>
      <c r="H401" s="85">
        <v>6300</v>
      </c>
    </row>
    <row r="402" spans="1:8" x14ac:dyDescent="0.2">
      <c r="A402" t="s">
        <v>147</v>
      </c>
      <c r="B402" s="180">
        <v>45014</v>
      </c>
      <c r="C402" s="181">
        <v>0.44236111111111115</v>
      </c>
      <c r="D402" s="179">
        <v>486</v>
      </c>
      <c r="E402" s="179">
        <v>486</v>
      </c>
      <c r="F402" s="179">
        <v>486</v>
      </c>
      <c r="G402" s="179">
        <v>486</v>
      </c>
      <c r="H402" s="85">
        <v>11300</v>
      </c>
    </row>
    <row r="403" spans="1:8" x14ac:dyDescent="0.2">
      <c r="A403" t="s">
        <v>147</v>
      </c>
      <c r="B403" s="180">
        <v>45014</v>
      </c>
      <c r="C403" s="181">
        <v>0.44305555555555554</v>
      </c>
      <c r="D403" s="179">
        <v>486</v>
      </c>
      <c r="E403" s="179">
        <v>487</v>
      </c>
      <c r="F403" s="179">
        <v>486</v>
      </c>
      <c r="G403" s="179">
        <v>487</v>
      </c>
      <c r="H403" s="85">
        <v>3100</v>
      </c>
    </row>
    <row r="404" spans="1:8" x14ac:dyDescent="0.2">
      <c r="A404" t="s">
        <v>147</v>
      </c>
      <c r="B404" s="180">
        <v>45014</v>
      </c>
      <c r="C404" s="181">
        <v>0.44375000000000003</v>
      </c>
      <c r="D404" s="179">
        <v>486</v>
      </c>
      <c r="E404" s="179">
        <v>486</v>
      </c>
      <c r="F404" s="179">
        <v>486</v>
      </c>
      <c r="G404" s="179">
        <v>486</v>
      </c>
      <c r="H404" s="85">
        <v>3000</v>
      </c>
    </row>
    <row r="405" spans="1:8" x14ac:dyDescent="0.2">
      <c r="A405" t="s">
        <v>147</v>
      </c>
      <c r="B405" s="180">
        <v>45014</v>
      </c>
      <c r="C405" s="181">
        <v>0.44444444444444442</v>
      </c>
      <c r="D405" s="179">
        <v>486</v>
      </c>
      <c r="E405" s="179">
        <v>486</v>
      </c>
      <c r="F405" s="179">
        <v>484</v>
      </c>
      <c r="G405" s="179">
        <v>484</v>
      </c>
      <c r="H405" s="85">
        <v>52700</v>
      </c>
    </row>
    <row r="406" spans="1:8" x14ac:dyDescent="0.2">
      <c r="A406" t="s">
        <v>147</v>
      </c>
      <c r="B406" s="180">
        <v>45014</v>
      </c>
      <c r="C406" s="181">
        <v>0.44513888888888892</v>
      </c>
      <c r="D406" s="179">
        <v>484</v>
      </c>
      <c r="E406" s="179">
        <v>485</v>
      </c>
      <c r="F406" s="179">
        <v>484</v>
      </c>
      <c r="G406" s="179">
        <v>485</v>
      </c>
      <c r="H406" s="85">
        <v>9700</v>
      </c>
    </row>
    <row r="407" spans="1:8" x14ac:dyDescent="0.2">
      <c r="A407" t="s">
        <v>147</v>
      </c>
      <c r="B407" s="180">
        <v>45014</v>
      </c>
      <c r="C407" s="181">
        <v>0.4458333333333333</v>
      </c>
      <c r="D407" s="179">
        <v>484</v>
      </c>
      <c r="E407" s="179">
        <v>485</v>
      </c>
      <c r="F407" s="179">
        <v>483</v>
      </c>
      <c r="G407" s="179">
        <v>484</v>
      </c>
      <c r="H407" s="85">
        <v>83500</v>
      </c>
    </row>
    <row r="408" spans="1:8" x14ac:dyDescent="0.2">
      <c r="A408" t="s">
        <v>147</v>
      </c>
      <c r="B408" s="180">
        <v>45014</v>
      </c>
      <c r="C408" s="181">
        <v>0.4465277777777778</v>
      </c>
      <c r="D408" s="179">
        <v>484</v>
      </c>
      <c r="E408" s="179">
        <v>485</v>
      </c>
      <c r="F408" s="179">
        <v>484</v>
      </c>
      <c r="G408" s="179">
        <v>485</v>
      </c>
      <c r="H408" s="85">
        <v>3900</v>
      </c>
    </row>
    <row r="409" spans="1:8" x14ac:dyDescent="0.2">
      <c r="A409" t="s">
        <v>147</v>
      </c>
      <c r="B409" s="180">
        <v>45014</v>
      </c>
      <c r="C409" s="181">
        <v>0.44722222222222219</v>
      </c>
      <c r="D409" s="179">
        <v>485</v>
      </c>
      <c r="E409" s="179">
        <v>485</v>
      </c>
      <c r="F409" s="179">
        <v>483</v>
      </c>
      <c r="G409" s="179">
        <v>483</v>
      </c>
      <c r="H409" s="85">
        <v>45100</v>
      </c>
    </row>
    <row r="410" spans="1:8" x14ac:dyDescent="0.2">
      <c r="A410" t="s">
        <v>147</v>
      </c>
      <c r="B410" s="180">
        <v>45014</v>
      </c>
      <c r="C410" s="181">
        <v>0.44791666666666669</v>
      </c>
      <c r="D410" s="179">
        <v>483</v>
      </c>
      <c r="E410" s="179">
        <v>484</v>
      </c>
      <c r="F410" s="179">
        <v>483</v>
      </c>
      <c r="G410" s="179">
        <v>484</v>
      </c>
      <c r="H410" s="85">
        <v>8000</v>
      </c>
    </row>
    <row r="411" spans="1:8" x14ac:dyDescent="0.2">
      <c r="A411" t="s">
        <v>147</v>
      </c>
      <c r="B411" s="180">
        <v>45014</v>
      </c>
      <c r="C411" s="181">
        <v>0.44861111111111113</v>
      </c>
      <c r="D411" s="179">
        <v>484</v>
      </c>
      <c r="E411" s="179">
        <v>485</v>
      </c>
      <c r="F411" s="179">
        <v>484</v>
      </c>
      <c r="G411" s="179">
        <v>485</v>
      </c>
      <c r="H411" s="85">
        <v>5700</v>
      </c>
    </row>
    <row r="412" spans="1:8" x14ac:dyDescent="0.2">
      <c r="A412" t="s">
        <v>147</v>
      </c>
      <c r="B412" s="180">
        <v>45014</v>
      </c>
      <c r="C412" s="181">
        <v>0.44930555555555557</v>
      </c>
      <c r="D412" s="179">
        <v>484</v>
      </c>
      <c r="E412" s="179">
        <v>484</v>
      </c>
      <c r="F412" s="179">
        <v>484</v>
      </c>
      <c r="G412" s="179">
        <v>484</v>
      </c>
      <c r="H412" s="85">
        <v>2000</v>
      </c>
    </row>
    <row r="413" spans="1:8" x14ac:dyDescent="0.2">
      <c r="A413" t="s">
        <v>147</v>
      </c>
      <c r="B413" s="180">
        <v>45014</v>
      </c>
      <c r="C413" s="181">
        <v>0.45</v>
      </c>
      <c r="D413" s="179">
        <v>485</v>
      </c>
      <c r="E413" s="179">
        <v>485</v>
      </c>
      <c r="F413" s="179">
        <v>485</v>
      </c>
      <c r="G413" s="179">
        <v>485</v>
      </c>
      <c r="H413" s="85">
        <v>1100</v>
      </c>
    </row>
    <row r="414" spans="1:8" x14ac:dyDescent="0.2">
      <c r="A414" t="s">
        <v>147</v>
      </c>
      <c r="B414" s="180">
        <v>45014</v>
      </c>
      <c r="C414" s="181">
        <v>0.45069444444444445</v>
      </c>
      <c r="D414" s="179">
        <v>485</v>
      </c>
      <c r="E414" s="179">
        <v>485</v>
      </c>
      <c r="F414" s="179">
        <v>485</v>
      </c>
      <c r="G414" s="179">
        <v>485</v>
      </c>
      <c r="H414" s="85">
        <v>20400</v>
      </c>
    </row>
    <row r="415" spans="1:8" x14ac:dyDescent="0.2">
      <c r="A415" t="s">
        <v>147</v>
      </c>
      <c r="B415" s="180">
        <v>45014</v>
      </c>
      <c r="C415" s="181">
        <v>0.4513888888888889</v>
      </c>
      <c r="D415" s="179">
        <v>485</v>
      </c>
      <c r="E415" s="179">
        <v>485</v>
      </c>
      <c r="F415" s="179">
        <v>485</v>
      </c>
      <c r="G415" s="179">
        <v>485</v>
      </c>
      <c r="H415" s="85">
        <v>1200</v>
      </c>
    </row>
    <row r="416" spans="1:8" x14ac:dyDescent="0.2">
      <c r="A416" t="s">
        <v>147</v>
      </c>
      <c r="B416" s="180">
        <v>45014</v>
      </c>
      <c r="C416" s="181">
        <v>0.45208333333333334</v>
      </c>
      <c r="D416" s="179">
        <v>485</v>
      </c>
      <c r="E416" s="179">
        <v>485</v>
      </c>
      <c r="F416" s="179">
        <v>484</v>
      </c>
      <c r="G416" s="179">
        <v>485</v>
      </c>
      <c r="H416" s="85">
        <v>11300</v>
      </c>
    </row>
    <row r="417" spans="1:8" x14ac:dyDescent="0.2">
      <c r="A417" t="s">
        <v>147</v>
      </c>
      <c r="B417" s="180">
        <v>45014</v>
      </c>
      <c r="C417" s="181">
        <v>0.45277777777777778</v>
      </c>
      <c r="D417" s="179">
        <v>485</v>
      </c>
      <c r="E417" s="179">
        <v>485</v>
      </c>
      <c r="F417" s="179">
        <v>485</v>
      </c>
      <c r="G417" s="179">
        <v>485</v>
      </c>
      <c r="H417" s="85">
        <v>0</v>
      </c>
    </row>
    <row r="418" spans="1:8" x14ac:dyDescent="0.2">
      <c r="A418" t="s">
        <v>147</v>
      </c>
      <c r="B418" s="180">
        <v>45014</v>
      </c>
      <c r="C418" s="181">
        <v>0.45347222222222222</v>
      </c>
      <c r="D418" s="179">
        <v>485</v>
      </c>
      <c r="E418" s="179">
        <v>485</v>
      </c>
      <c r="F418" s="179">
        <v>485</v>
      </c>
      <c r="G418" s="179">
        <v>485</v>
      </c>
      <c r="H418" s="85">
        <v>2500</v>
      </c>
    </row>
    <row r="419" spans="1:8" x14ac:dyDescent="0.2">
      <c r="A419" t="s">
        <v>147</v>
      </c>
      <c r="B419" s="180">
        <v>45014</v>
      </c>
      <c r="C419" s="181">
        <v>0.45416666666666666</v>
      </c>
      <c r="D419" s="179">
        <v>485</v>
      </c>
      <c r="E419" s="179">
        <v>485</v>
      </c>
      <c r="F419" s="179">
        <v>485</v>
      </c>
      <c r="G419" s="179">
        <v>485</v>
      </c>
      <c r="H419" s="85">
        <v>1700</v>
      </c>
    </row>
    <row r="420" spans="1:8" x14ac:dyDescent="0.2">
      <c r="A420" t="s">
        <v>147</v>
      </c>
      <c r="B420" s="180">
        <v>45014</v>
      </c>
      <c r="C420" s="181">
        <v>0.4548611111111111</v>
      </c>
      <c r="D420" s="179">
        <v>485</v>
      </c>
      <c r="E420" s="179">
        <v>485</v>
      </c>
      <c r="F420" s="179">
        <v>485</v>
      </c>
      <c r="G420" s="179">
        <v>485</v>
      </c>
      <c r="H420" s="85">
        <v>10400</v>
      </c>
    </row>
    <row r="421" spans="1:8" x14ac:dyDescent="0.2">
      <c r="A421" t="s">
        <v>147</v>
      </c>
      <c r="B421" s="180">
        <v>45014</v>
      </c>
      <c r="C421" s="181">
        <v>0.45555555555555555</v>
      </c>
      <c r="D421" s="179">
        <v>484</v>
      </c>
      <c r="E421" s="179">
        <v>484</v>
      </c>
      <c r="F421" s="179">
        <v>484</v>
      </c>
      <c r="G421" s="179">
        <v>484</v>
      </c>
      <c r="H421" s="85">
        <v>8300</v>
      </c>
    </row>
    <row r="422" spans="1:8" x14ac:dyDescent="0.2">
      <c r="A422" t="s">
        <v>147</v>
      </c>
      <c r="B422" s="180">
        <v>45014</v>
      </c>
      <c r="C422" s="181">
        <v>0.45624999999999999</v>
      </c>
      <c r="D422" s="179">
        <v>484</v>
      </c>
      <c r="E422" s="179">
        <v>485</v>
      </c>
      <c r="F422" s="179">
        <v>483</v>
      </c>
      <c r="G422" s="179">
        <v>485</v>
      </c>
      <c r="H422" s="85">
        <v>12700</v>
      </c>
    </row>
    <row r="423" spans="1:8" x14ac:dyDescent="0.2">
      <c r="A423" t="s">
        <v>147</v>
      </c>
      <c r="B423" s="180">
        <v>45014</v>
      </c>
      <c r="C423" s="181">
        <v>0.45694444444444443</v>
      </c>
      <c r="D423" s="179">
        <v>485</v>
      </c>
      <c r="E423" s="179">
        <v>485</v>
      </c>
      <c r="F423" s="179">
        <v>484</v>
      </c>
      <c r="G423" s="179">
        <v>484</v>
      </c>
      <c r="H423" s="85">
        <v>6300</v>
      </c>
    </row>
    <row r="424" spans="1:8" x14ac:dyDescent="0.2">
      <c r="A424" t="s">
        <v>147</v>
      </c>
      <c r="B424" s="180">
        <v>45014</v>
      </c>
      <c r="C424" s="181">
        <v>0.45763888888888887</v>
      </c>
      <c r="D424" s="179">
        <v>484</v>
      </c>
      <c r="E424" s="179">
        <v>485</v>
      </c>
      <c r="F424" s="179">
        <v>484</v>
      </c>
      <c r="G424" s="179">
        <v>485</v>
      </c>
      <c r="H424" s="85">
        <v>7300</v>
      </c>
    </row>
    <row r="425" spans="1:8" x14ac:dyDescent="0.2">
      <c r="A425" t="s">
        <v>147</v>
      </c>
      <c r="B425" s="180">
        <v>45014</v>
      </c>
      <c r="C425" s="181">
        <v>0.45833333333333331</v>
      </c>
      <c r="D425" s="179">
        <v>485</v>
      </c>
      <c r="E425" s="179">
        <v>485</v>
      </c>
      <c r="F425" s="179">
        <v>485</v>
      </c>
      <c r="G425" s="179">
        <v>485</v>
      </c>
      <c r="H425" s="85">
        <v>0</v>
      </c>
    </row>
    <row r="426" spans="1:8" x14ac:dyDescent="0.2">
      <c r="A426" t="s">
        <v>147</v>
      </c>
      <c r="B426" s="180">
        <v>45014</v>
      </c>
      <c r="C426" s="181">
        <v>0.45902777777777781</v>
      </c>
      <c r="D426" s="179">
        <v>484</v>
      </c>
      <c r="E426" s="179">
        <v>485</v>
      </c>
      <c r="F426" s="179">
        <v>484</v>
      </c>
      <c r="G426" s="179">
        <v>484</v>
      </c>
      <c r="H426" s="85">
        <v>2700</v>
      </c>
    </row>
    <row r="427" spans="1:8" x14ac:dyDescent="0.2">
      <c r="A427" t="s">
        <v>147</v>
      </c>
      <c r="B427" s="180">
        <v>45014</v>
      </c>
      <c r="C427" s="181">
        <v>0.4597222222222222</v>
      </c>
      <c r="D427" s="179">
        <v>485</v>
      </c>
      <c r="E427" s="179">
        <v>485</v>
      </c>
      <c r="F427" s="179">
        <v>484</v>
      </c>
      <c r="G427" s="179">
        <v>484</v>
      </c>
      <c r="H427" s="85">
        <v>9900</v>
      </c>
    </row>
    <row r="428" spans="1:8" x14ac:dyDescent="0.2">
      <c r="A428" t="s">
        <v>147</v>
      </c>
      <c r="B428" s="180">
        <v>45014</v>
      </c>
      <c r="C428" s="181">
        <v>0.4604166666666667</v>
      </c>
      <c r="D428" s="179">
        <v>484</v>
      </c>
      <c r="E428" s="179">
        <v>484</v>
      </c>
      <c r="F428" s="179">
        <v>483</v>
      </c>
      <c r="G428" s="179">
        <v>483</v>
      </c>
      <c r="H428" s="85">
        <v>5100</v>
      </c>
    </row>
    <row r="429" spans="1:8" x14ac:dyDescent="0.2">
      <c r="A429" t="s">
        <v>147</v>
      </c>
      <c r="B429" s="180">
        <v>45014</v>
      </c>
      <c r="C429" s="181">
        <v>0.46111111111111108</v>
      </c>
      <c r="D429" s="179">
        <v>483</v>
      </c>
      <c r="E429" s="179">
        <v>484</v>
      </c>
      <c r="F429" s="179">
        <v>483</v>
      </c>
      <c r="G429" s="179">
        <v>483</v>
      </c>
      <c r="H429" s="85">
        <v>4700</v>
      </c>
    </row>
    <row r="430" spans="1:8" x14ac:dyDescent="0.2">
      <c r="A430" t="s">
        <v>147</v>
      </c>
      <c r="B430" s="180">
        <v>45014</v>
      </c>
      <c r="C430" s="181">
        <v>0.46180555555555558</v>
      </c>
      <c r="D430" s="179">
        <v>483</v>
      </c>
      <c r="E430" s="179">
        <v>484</v>
      </c>
      <c r="F430" s="179">
        <v>483</v>
      </c>
      <c r="G430" s="179">
        <v>483</v>
      </c>
      <c r="H430" s="85">
        <v>5400</v>
      </c>
    </row>
    <row r="431" spans="1:8" x14ac:dyDescent="0.2">
      <c r="A431" t="s">
        <v>147</v>
      </c>
      <c r="B431" s="180">
        <v>45014</v>
      </c>
      <c r="C431" s="181">
        <v>0.46249999999999997</v>
      </c>
      <c r="D431" s="179">
        <v>484</v>
      </c>
      <c r="E431" s="179">
        <v>484</v>
      </c>
      <c r="F431" s="179">
        <v>483</v>
      </c>
      <c r="G431" s="179">
        <v>483</v>
      </c>
      <c r="H431" s="85">
        <v>35700</v>
      </c>
    </row>
    <row r="432" spans="1:8" x14ac:dyDescent="0.2">
      <c r="A432" t="s">
        <v>147</v>
      </c>
      <c r="B432" s="180">
        <v>45014</v>
      </c>
      <c r="C432" s="181">
        <v>0.46319444444444446</v>
      </c>
      <c r="D432" s="179">
        <v>483</v>
      </c>
      <c r="E432" s="179">
        <v>483</v>
      </c>
      <c r="F432" s="179">
        <v>481</v>
      </c>
      <c r="G432" s="179">
        <v>482</v>
      </c>
      <c r="H432" s="85">
        <v>51600</v>
      </c>
    </row>
    <row r="433" spans="1:8" x14ac:dyDescent="0.2">
      <c r="A433" t="s">
        <v>147</v>
      </c>
      <c r="B433" s="180">
        <v>45014</v>
      </c>
      <c r="C433" s="181">
        <v>0.46388888888888885</v>
      </c>
      <c r="D433" s="179">
        <v>482</v>
      </c>
      <c r="E433" s="179">
        <v>483</v>
      </c>
      <c r="F433" s="179">
        <v>482</v>
      </c>
      <c r="G433" s="179">
        <v>482</v>
      </c>
      <c r="H433" s="85">
        <v>1900</v>
      </c>
    </row>
    <row r="434" spans="1:8" x14ac:dyDescent="0.2">
      <c r="A434" t="s">
        <v>147</v>
      </c>
      <c r="B434" s="180">
        <v>45014</v>
      </c>
      <c r="C434" s="181">
        <v>0.46458333333333335</v>
      </c>
      <c r="D434" s="179">
        <v>482</v>
      </c>
      <c r="E434" s="179">
        <v>483</v>
      </c>
      <c r="F434" s="179">
        <v>481</v>
      </c>
      <c r="G434" s="179">
        <v>482</v>
      </c>
      <c r="H434" s="85">
        <v>12000</v>
      </c>
    </row>
    <row r="435" spans="1:8" x14ac:dyDescent="0.2">
      <c r="A435" t="s">
        <v>147</v>
      </c>
      <c r="B435" s="180">
        <v>45014</v>
      </c>
      <c r="C435" s="181">
        <v>0.46527777777777773</v>
      </c>
      <c r="D435" s="179">
        <v>482</v>
      </c>
      <c r="E435" s="179">
        <v>483</v>
      </c>
      <c r="F435" s="179">
        <v>482</v>
      </c>
      <c r="G435" s="179">
        <v>483</v>
      </c>
      <c r="H435" s="85">
        <v>3200</v>
      </c>
    </row>
    <row r="436" spans="1:8" x14ac:dyDescent="0.2">
      <c r="A436" t="s">
        <v>147</v>
      </c>
      <c r="B436" s="180">
        <v>45014</v>
      </c>
      <c r="C436" s="181">
        <v>0.46597222222222223</v>
      </c>
      <c r="D436" s="179">
        <v>483</v>
      </c>
      <c r="E436" s="179">
        <v>483</v>
      </c>
      <c r="F436" s="179">
        <v>483</v>
      </c>
      <c r="G436" s="179">
        <v>483</v>
      </c>
      <c r="H436" s="85">
        <v>1000</v>
      </c>
    </row>
    <row r="437" spans="1:8" x14ac:dyDescent="0.2">
      <c r="A437" t="s">
        <v>147</v>
      </c>
      <c r="B437" s="180">
        <v>45014</v>
      </c>
      <c r="C437" s="181">
        <v>0.46666666666666662</v>
      </c>
      <c r="D437" s="179">
        <v>482</v>
      </c>
      <c r="E437" s="179">
        <v>483</v>
      </c>
      <c r="F437" s="179">
        <v>482</v>
      </c>
      <c r="G437" s="179">
        <v>483</v>
      </c>
      <c r="H437" s="85">
        <v>1000</v>
      </c>
    </row>
    <row r="438" spans="1:8" x14ac:dyDescent="0.2">
      <c r="A438" t="s">
        <v>147</v>
      </c>
      <c r="B438" s="180">
        <v>45014</v>
      </c>
      <c r="C438" s="181">
        <v>0.46736111111111112</v>
      </c>
      <c r="D438" s="179">
        <v>482</v>
      </c>
      <c r="E438" s="179">
        <v>483</v>
      </c>
      <c r="F438" s="179">
        <v>482</v>
      </c>
      <c r="G438" s="179">
        <v>482</v>
      </c>
      <c r="H438" s="85">
        <v>4700</v>
      </c>
    </row>
    <row r="439" spans="1:8" x14ac:dyDescent="0.2">
      <c r="A439" t="s">
        <v>147</v>
      </c>
      <c r="B439" s="180">
        <v>45014</v>
      </c>
      <c r="C439" s="181">
        <v>0.4680555555555555</v>
      </c>
      <c r="D439" s="179">
        <v>483</v>
      </c>
      <c r="E439" s="179">
        <v>483</v>
      </c>
      <c r="F439" s="179">
        <v>482</v>
      </c>
      <c r="G439" s="179">
        <v>482</v>
      </c>
      <c r="H439" s="85">
        <v>8800</v>
      </c>
    </row>
    <row r="440" spans="1:8" x14ac:dyDescent="0.2">
      <c r="A440" t="s">
        <v>147</v>
      </c>
      <c r="B440" s="180">
        <v>45014</v>
      </c>
      <c r="C440" s="181">
        <v>0.46875</v>
      </c>
      <c r="D440" s="179">
        <v>482</v>
      </c>
      <c r="E440" s="179">
        <v>483</v>
      </c>
      <c r="F440" s="179">
        <v>482</v>
      </c>
      <c r="G440" s="179">
        <v>482</v>
      </c>
      <c r="H440" s="85">
        <v>10500</v>
      </c>
    </row>
    <row r="441" spans="1:8" x14ac:dyDescent="0.2">
      <c r="A441" t="s">
        <v>147</v>
      </c>
      <c r="B441" s="180">
        <v>45014</v>
      </c>
      <c r="C441" s="181">
        <v>0.4694444444444445</v>
      </c>
      <c r="D441" s="179">
        <v>481</v>
      </c>
      <c r="E441" s="179">
        <v>482</v>
      </c>
      <c r="F441" s="179">
        <v>481</v>
      </c>
      <c r="G441" s="179">
        <v>482</v>
      </c>
      <c r="H441" s="85">
        <v>4500</v>
      </c>
    </row>
    <row r="442" spans="1:8" x14ac:dyDescent="0.2">
      <c r="A442" t="s">
        <v>147</v>
      </c>
      <c r="B442" s="180">
        <v>45014</v>
      </c>
      <c r="C442" s="181">
        <v>0.47013888888888888</v>
      </c>
      <c r="D442" s="179">
        <v>481</v>
      </c>
      <c r="E442" s="179">
        <v>482</v>
      </c>
      <c r="F442" s="179">
        <v>481</v>
      </c>
      <c r="G442" s="179">
        <v>482</v>
      </c>
      <c r="H442" s="85">
        <v>2600</v>
      </c>
    </row>
    <row r="443" spans="1:8" x14ac:dyDescent="0.2">
      <c r="A443" t="s">
        <v>147</v>
      </c>
      <c r="B443" s="180">
        <v>45014</v>
      </c>
      <c r="C443" s="181">
        <v>0.47083333333333338</v>
      </c>
      <c r="D443" s="179">
        <v>481</v>
      </c>
      <c r="E443" s="179">
        <v>482</v>
      </c>
      <c r="F443" s="179">
        <v>481</v>
      </c>
      <c r="G443" s="179">
        <v>481</v>
      </c>
      <c r="H443" s="85">
        <v>5100</v>
      </c>
    </row>
    <row r="444" spans="1:8" x14ac:dyDescent="0.2">
      <c r="A444" t="s">
        <v>147</v>
      </c>
      <c r="B444" s="180">
        <v>45014</v>
      </c>
      <c r="C444" s="181">
        <v>0.47152777777777777</v>
      </c>
      <c r="D444" s="179">
        <v>482</v>
      </c>
      <c r="E444" s="179">
        <v>482</v>
      </c>
      <c r="F444" s="179">
        <v>481</v>
      </c>
      <c r="G444" s="179">
        <v>481</v>
      </c>
      <c r="H444" s="85">
        <v>3600</v>
      </c>
    </row>
    <row r="445" spans="1:8" x14ac:dyDescent="0.2">
      <c r="A445" t="s">
        <v>147</v>
      </c>
      <c r="B445" s="180">
        <v>45014</v>
      </c>
      <c r="C445" s="181">
        <v>0.47222222222222227</v>
      </c>
      <c r="D445" s="179">
        <v>481</v>
      </c>
      <c r="E445" s="179">
        <v>482</v>
      </c>
      <c r="F445" s="179">
        <v>481</v>
      </c>
      <c r="G445" s="179">
        <v>481</v>
      </c>
      <c r="H445" s="85">
        <v>4500</v>
      </c>
    </row>
    <row r="446" spans="1:8" x14ac:dyDescent="0.2">
      <c r="A446" t="s">
        <v>147</v>
      </c>
      <c r="B446" s="180">
        <v>45014</v>
      </c>
      <c r="C446" s="181">
        <v>0.47291666666666665</v>
      </c>
      <c r="D446" s="179">
        <v>482</v>
      </c>
      <c r="E446" s="179">
        <v>482</v>
      </c>
      <c r="F446" s="179">
        <v>481</v>
      </c>
      <c r="G446" s="179">
        <v>481</v>
      </c>
      <c r="H446" s="85">
        <v>4500</v>
      </c>
    </row>
    <row r="447" spans="1:8" x14ac:dyDescent="0.2">
      <c r="A447" t="s">
        <v>147</v>
      </c>
      <c r="B447" s="180">
        <v>45014</v>
      </c>
      <c r="C447" s="181">
        <v>0.47361111111111115</v>
      </c>
      <c r="D447" s="179">
        <v>481</v>
      </c>
      <c r="E447" s="179">
        <v>482</v>
      </c>
      <c r="F447" s="179">
        <v>481</v>
      </c>
      <c r="G447" s="179">
        <v>482</v>
      </c>
      <c r="H447" s="85">
        <v>1200</v>
      </c>
    </row>
    <row r="448" spans="1:8" x14ac:dyDescent="0.2">
      <c r="A448" t="s">
        <v>147</v>
      </c>
      <c r="B448" s="180">
        <v>45014</v>
      </c>
      <c r="C448" s="181">
        <v>0.47430555555555554</v>
      </c>
      <c r="D448" s="179">
        <v>482</v>
      </c>
      <c r="E448" s="179">
        <v>482</v>
      </c>
      <c r="F448" s="179">
        <v>482</v>
      </c>
      <c r="G448" s="179">
        <v>482</v>
      </c>
      <c r="H448" s="85">
        <v>0</v>
      </c>
    </row>
    <row r="449" spans="1:8" x14ac:dyDescent="0.2">
      <c r="A449" t="s">
        <v>147</v>
      </c>
      <c r="B449" s="180">
        <v>45014</v>
      </c>
      <c r="C449" s="181">
        <v>0.47500000000000003</v>
      </c>
      <c r="D449" s="179">
        <v>482</v>
      </c>
      <c r="E449" s="179">
        <v>482</v>
      </c>
      <c r="F449" s="179">
        <v>481</v>
      </c>
      <c r="G449" s="179">
        <v>481</v>
      </c>
      <c r="H449" s="85">
        <v>16100</v>
      </c>
    </row>
    <row r="450" spans="1:8" x14ac:dyDescent="0.2">
      <c r="A450" t="s">
        <v>147</v>
      </c>
      <c r="B450" s="180">
        <v>45014</v>
      </c>
      <c r="C450" s="181">
        <v>0.47569444444444442</v>
      </c>
      <c r="D450" s="179">
        <v>481</v>
      </c>
      <c r="E450" s="179">
        <v>481</v>
      </c>
      <c r="F450" s="179">
        <v>480</v>
      </c>
      <c r="G450" s="179">
        <v>481</v>
      </c>
      <c r="H450" s="85">
        <v>9900</v>
      </c>
    </row>
    <row r="451" spans="1:8" x14ac:dyDescent="0.2">
      <c r="A451" t="s">
        <v>147</v>
      </c>
      <c r="B451" s="180">
        <v>45014</v>
      </c>
      <c r="C451" s="181">
        <v>0.47638888888888892</v>
      </c>
      <c r="D451" s="179">
        <v>481</v>
      </c>
      <c r="E451" s="179">
        <v>482</v>
      </c>
      <c r="F451" s="179">
        <v>481</v>
      </c>
      <c r="G451" s="179">
        <v>481</v>
      </c>
      <c r="H451" s="85">
        <v>18200</v>
      </c>
    </row>
    <row r="452" spans="1:8" x14ac:dyDescent="0.2">
      <c r="A452" t="s">
        <v>147</v>
      </c>
      <c r="B452" s="180">
        <v>45014</v>
      </c>
      <c r="C452" s="181">
        <v>0.4770833333333333</v>
      </c>
      <c r="D452" s="179">
        <v>482</v>
      </c>
      <c r="E452" s="179">
        <v>482</v>
      </c>
      <c r="F452" s="179">
        <v>480</v>
      </c>
      <c r="G452" s="179">
        <v>481</v>
      </c>
      <c r="H452" s="85">
        <v>12400</v>
      </c>
    </row>
    <row r="453" spans="1:8" x14ac:dyDescent="0.2">
      <c r="A453" t="s">
        <v>147</v>
      </c>
      <c r="B453" s="180">
        <v>45014</v>
      </c>
      <c r="C453" s="181">
        <v>0.4777777777777778</v>
      </c>
      <c r="D453" s="179">
        <v>481</v>
      </c>
      <c r="E453" s="179">
        <v>481</v>
      </c>
      <c r="F453" s="179">
        <v>480</v>
      </c>
      <c r="G453" s="179">
        <v>480</v>
      </c>
      <c r="H453" s="85">
        <v>200</v>
      </c>
    </row>
    <row r="454" spans="1:8" x14ac:dyDescent="0.2">
      <c r="A454" t="s">
        <v>147</v>
      </c>
      <c r="B454" s="180">
        <v>45014</v>
      </c>
      <c r="C454" s="181">
        <v>0.47847222222222219</v>
      </c>
      <c r="D454" s="179">
        <v>481</v>
      </c>
      <c r="E454" s="179">
        <v>481</v>
      </c>
      <c r="F454" s="179">
        <v>480</v>
      </c>
      <c r="G454" s="179">
        <v>480</v>
      </c>
      <c r="H454" s="85">
        <v>900</v>
      </c>
    </row>
    <row r="455" spans="1:8" x14ac:dyDescent="0.2">
      <c r="A455" t="s">
        <v>147</v>
      </c>
      <c r="B455" s="180">
        <v>45014</v>
      </c>
      <c r="C455" s="181">
        <v>0.47916666666666669</v>
      </c>
      <c r="D455" s="179">
        <v>481</v>
      </c>
      <c r="E455" s="179">
        <v>481</v>
      </c>
      <c r="F455" s="179">
        <v>481</v>
      </c>
      <c r="G455" s="179">
        <v>481</v>
      </c>
      <c r="H455" s="85">
        <v>16000</v>
      </c>
    </row>
    <row r="456" spans="1:8" x14ac:dyDescent="0.2">
      <c r="A456" t="s">
        <v>147</v>
      </c>
      <c r="B456" s="180">
        <v>45014</v>
      </c>
      <c r="C456" s="181">
        <v>0.52083333333333337</v>
      </c>
      <c r="D456" s="179">
        <v>482</v>
      </c>
      <c r="E456" s="179">
        <v>483</v>
      </c>
      <c r="F456" s="179">
        <v>478</v>
      </c>
      <c r="G456" s="179">
        <v>479</v>
      </c>
      <c r="H456" s="85">
        <v>196200</v>
      </c>
    </row>
    <row r="457" spans="1:8" x14ac:dyDescent="0.2">
      <c r="A457" t="s">
        <v>147</v>
      </c>
      <c r="B457" s="180">
        <v>45014</v>
      </c>
      <c r="C457" s="181">
        <v>0.52152777777777781</v>
      </c>
      <c r="D457" s="179">
        <v>480</v>
      </c>
      <c r="E457" s="179">
        <v>480</v>
      </c>
      <c r="F457" s="179">
        <v>479</v>
      </c>
      <c r="G457" s="179">
        <v>479</v>
      </c>
      <c r="H457" s="85">
        <v>15400</v>
      </c>
    </row>
    <row r="458" spans="1:8" x14ac:dyDescent="0.2">
      <c r="A458" t="s">
        <v>147</v>
      </c>
      <c r="B458" s="180">
        <v>45014</v>
      </c>
      <c r="C458" s="181">
        <v>0.52222222222222225</v>
      </c>
      <c r="D458" s="179">
        <v>479</v>
      </c>
      <c r="E458" s="179">
        <v>479</v>
      </c>
      <c r="F458" s="179">
        <v>478</v>
      </c>
      <c r="G458" s="179">
        <v>479</v>
      </c>
      <c r="H458" s="85">
        <v>14600</v>
      </c>
    </row>
    <row r="459" spans="1:8" x14ac:dyDescent="0.2">
      <c r="A459" t="s">
        <v>147</v>
      </c>
      <c r="B459" s="180">
        <v>45014</v>
      </c>
      <c r="C459" s="181">
        <v>0.5229166666666667</v>
      </c>
      <c r="D459" s="179">
        <v>479</v>
      </c>
      <c r="E459" s="179">
        <v>479</v>
      </c>
      <c r="F459" s="179">
        <v>478</v>
      </c>
      <c r="G459" s="179">
        <v>478</v>
      </c>
      <c r="H459" s="85">
        <v>5500</v>
      </c>
    </row>
    <row r="460" spans="1:8" x14ac:dyDescent="0.2">
      <c r="A460" t="s">
        <v>147</v>
      </c>
      <c r="B460" s="180">
        <v>45014</v>
      </c>
      <c r="C460" s="181">
        <v>0.52361111111111114</v>
      </c>
      <c r="D460" s="179">
        <v>478</v>
      </c>
      <c r="E460" s="179">
        <v>478</v>
      </c>
      <c r="F460" s="179">
        <v>477</v>
      </c>
      <c r="G460" s="179">
        <v>477</v>
      </c>
      <c r="H460" s="85">
        <v>34200</v>
      </c>
    </row>
    <row r="461" spans="1:8" x14ac:dyDescent="0.2">
      <c r="A461" t="s">
        <v>147</v>
      </c>
      <c r="B461" s="180">
        <v>45014</v>
      </c>
      <c r="C461" s="181">
        <v>0.52430555555555558</v>
      </c>
      <c r="D461" s="179">
        <v>477</v>
      </c>
      <c r="E461" s="179">
        <v>478</v>
      </c>
      <c r="F461" s="179">
        <v>477</v>
      </c>
      <c r="G461" s="179">
        <v>478</v>
      </c>
      <c r="H461" s="85">
        <v>45900</v>
      </c>
    </row>
    <row r="462" spans="1:8" x14ac:dyDescent="0.2">
      <c r="A462" t="s">
        <v>147</v>
      </c>
      <c r="B462" s="180">
        <v>45014</v>
      </c>
      <c r="C462" s="181">
        <v>0.52500000000000002</v>
      </c>
      <c r="D462" s="179">
        <v>478</v>
      </c>
      <c r="E462" s="179">
        <v>479</v>
      </c>
      <c r="F462" s="179">
        <v>477</v>
      </c>
      <c r="G462" s="179">
        <v>479</v>
      </c>
      <c r="H462" s="85">
        <v>33300</v>
      </c>
    </row>
    <row r="463" spans="1:8" x14ac:dyDescent="0.2">
      <c r="A463" t="s">
        <v>147</v>
      </c>
      <c r="B463" s="180">
        <v>45014</v>
      </c>
      <c r="C463" s="181">
        <v>0.52569444444444446</v>
      </c>
      <c r="D463" s="179">
        <v>478</v>
      </c>
      <c r="E463" s="179">
        <v>479</v>
      </c>
      <c r="F463" s="179">
        <v>478</v>
      </c>
      <c r="G463" s="179">
        <v>478</v>
      </c>
      <c r="H463" s="85">
        <v>18100</v>
      </c>
    </row>
    <row r="464" spans="1:8" x14ac:dyDescent="0.2">
      <c r="A464" t="s">
        <v>147</v>
      </c>
      <c r="B464" s="180">
        <v>45014</v>
      </c>
      <c r="C464" s="181">
        <v>0.52638888888888891</v>
      </c>
      <c r="D464" s="179">
        <v>478</v>
      </c>
      <c r="E464" s="179">
        <v>478</v>
      </c>
      <c r="F464" s="179">
        <v>477</v>
      </c>
      <c r="G464" s="179">
        <v>477</v>
      </c>
      <c r="H464" s="85">
        <v>3600</v>
      </c>
    </row>
    <row r="465" spans="1:8" x14ac:dyDescent="0.2">
      <c r="A465" t="s">
        <v>147</v>
      </c>
      <c r="B465" s="180">
        <v>45014</v>
      </c>
      <c r="C465" s="181">
        <v>0.52708333333333335</v>
      </c>
      <c r="D465" s="179">
        <v>477</v>
      </c>
      <c r="E465" s="179">
        <v>478</v>
      </c>
      <c r="F465" s="179">
        <v>477</v>
      </c>
      <c r="G465" s="179">
        <v>477</v>
      </c>
      <c r="H465" s="85">
        <v>5200</v>
      </c>
    </row>
    <row r="466" spans="1:8" x14ac:dyDescent="0.2">
      <c r="A466" t="s">
        <v>147</v>
      </c>
      <c r="B466" s="180">
        <v>45014</v>
      </c>
      <c r="C466" s="181">
        <v>0.52777777777777779</v>
      </c>
      <c r="D466" s="179">
        <v>477</v>
      </c>
      <c r="E466" s="179">
        <v>478</v>
      </c>
      <c r="F466" s="179">
        <v>477</v>
      </c>
      <c r="G466" s="179">
        <v>477</v>
      </c>
      <c r="H466" s="85">
        <v>15600</v>
      </c>
    </row>
    <row r="467" spans="1:8" x14ac:dyDescent="0.2">
      <c r="A467" t="s">
        <v>147</v>
      </c>
      <c r="B467" s="180">
        <v>45014</v>
      </c>
      <c r="C467" s="181">
        <v>0.52847222222222223</v>
      </c>
      <c r="D467" s="179">
        <v>477</v>
      </c>
      <c r="E467" s="179">
        <v>478</v>
      </c>
      <c r="F467" s="179">
        <v>477</v>
      </c>
      <c r="G467" s="179">
        <v>477</v>
      </c>
      <c r="H467" s="85">
        <v>3400</v>
      </c>
    </row>
    <row r="468" spans="1:8" x14ac:dyDescent="0.2">
      <c r="A468" t="s">
        <v>147</v>
      </c>
      <c r="B468" s="180">
        <v>45014</v>
      </c>
      <c r="C468" s="181">
        <v>0.52916666666666667</v>
      </c>
      <c r="D468" s="179">
        <v>478</v>
      </c>
      <c r="E468" s="179">
        <v>478</v>
      </c>
      <c r="F468" s="179">
        <v>477</v>
      </c>
      <c r="G468" s="179">
        <v>477</v>
      </c>
      <c r="H468" s="85">
        <v>9000</v>
      </c>
    </row>
    <row r="469" spans="1:8" x14ac:dyDescent="0.2">
      <c r="A469" t="s">
        <v>147</v>
      </c>
      <c r="B469" s="180">
        <v>45014</v>
      </c>
      <c r="C469" s="181">
        <v>0.52986111111111112</v>
      </c>
      <c r="D469" s="179">
        <v>477</v>
      </c>
      <c r="E469" s="179">
        <v>479</v>
      </c>
      <c r="F469" s="179">
        <v>477</v>
      </c>
      <c r="G469" s="179">
        <v>478</v>
      </c>
      <c r="H469" s="85">
        <v>47900</v>
      </c>
    </row>
    <row r="470" spans="1:8" x14ac:dyDescent="0.2">
      <c r="A470" t="s">
        <v>147</v>
      </c>
      <c r="B470" s="180">
        <v>45014</v>
      </c>
      <c r="C470" s="181">
        <v>0.53055555555555556</v>
      </c>
      <c r="D470" s="179">
        <v>478</v>
      </c>
      <c r="E470" s="179">
        <v>478</v>
      </c>
      <c r="F470" s="179">
        <v>477</v>
      </c>
      <c r="G470" s="179">
        <v>478</v>
      </c>
      <c r="H470" s="85">
        <v>2400</v>
      </c>
    </row>
    <row r="471" spans="1:8" x14ac:dyDescent="0.2">
      <c r="A471" t="s">
        <v>147</v>
      </c>
      <c r="B471" s="180">
        <v>45014</v>
      </c>
      <c r="C471" s="181">
        <v>0.53125</v>
      </c>
      <c r="D471" s="179">
        <v>478</v>
      </c>
      <c r="E471" s="179">
        <v>478</v>
      </c>
      <c r="F471" s="179">
        <v>478</v>
      </c>
      <c r="G471" s="179">
        <v>478</v>
      </c>
      <c r="H471" s="85">
        <v>1900</v>
      </c>
    </row>
    <row r="472" spans="1:8" x14ac:dyDescent="0.2">
      <c r="A472" t="s">
        <v>147</v>
      </c>
      <c r="B472" s="180">
        <v>45014</v>
      </c>
      <c r="C472" s="181">
        <v>0.53194444444444444</v>
      </c>
      <c r="D472" s="179">
        <v>477</v>
      </c>
      <c r="E472" s="179">
        <v>477</v>
      </c>
      <c r="F472" s="179">
        <v>475</v>
      </c>
      <c r="G472" s="179">
        <v>476</v>
      </c>
      <c r="H472" s="85">
        <v>44900</v>
      </c>
    </row>
    <row r="473" spans="1:8" x14ac:dyDescent="0.2">
      <c r="A473" t="s">
        <v>147</v>
      </c>
      <c r="B473" s="180">
        <v>45014</v>
      </c>
      <c r="C473" s="181">
        <v>0.53263888888888888</v>
      </c>
      <c r="D473" s="179">
        <v>476</v>
      </c>
      <c r="E473" s="179">
        <v>476</v>
      </c>
      <c r="F473" s="179">
        <v>476</v>
      </c>
      <c r="G473" s="179">
        <v>476</v>
      </c>
      <c r="H473" s="85">
        <v>3000</v>
      </c>
    </row>
    <row r="474" spans="1:8" x14ac:dyDescent="0.2">
      <c r="A474" t="s">
        <v>147</v>
      </c>
      <c r="B474" s="180">
        <v>45014</v>
      </c>
      <c r="C474" s="181">
        <v>0.53333333333333333</v>
      </c>
      <c r="D474" s="179">
        <v>476</v>
      </c>
      <c r="E474" s="179">
        <v>477</v>
      </c>
      <c r="F474" s="179">
        <v>476</v>
      </c>
      <c r="G474" s="179">
        <v>477</v>
      </c>
      <c r="H474" s="85">
        <v>1500</v>
      </c>
    </row>
    <row r="475" spans="1:8" x14ac:dyDescent="0.2">
      <c r="A475" t="s">
        <v>147</v>
      </c>
      <c r="B475" s="180">
        <v>45014</v>
      </c>
      <c r="C475" s="181">
        <v>0.53402777777777777</v>
      </c>
      <c r="D475" s="179">
        <v>477</v>
      </c>
      <c r="E475" s="179">
        <v>477</v>
      </c>
      <c r="F475" s="179">
        <v>476</v>
      </c>
      <c r="G475" s="179">
        <v>476</v>
      </c>
      <c r="H475" s="85">
        <v>6200</v>
      </c>
    </row>
    <row r="476" spans="1:8" x14ac:dyDescent="0.2">
      <c r="A476" t="s">
        <v>147</v>
      </c>
      <c r="B476" s="180">
        <v>45014</v>
      </c>
      <c r="C476" s="181">
        <v>0.53472222222222221</v>
      </c>
      <c r="D476" s="179">
        <v>476</v>
      </c>
      <c r="E476" s="179">
        <v>476</v>
      </c>
      <c r="F476" s="179">
        <v>476</v>
      </c>
      <c r="G476" s="179">
        <v>476</v>
      </c>
      <c r="H476" s="85">
        <v>500</v>
      </c>
    </row>
    <row r="477" spans="1:8" x14ac:dyDescent="0.2">
      <c r="A477" t="s">
        <v>147</v>
      </c>
      <c r="B477" s="180">
        <v>45014</v>
      </c>
      <c r="C477" s="181">
        <v>0.53541666666666665</v>
      </c>
      <c r="D477" s="179">
        <v>477</v>
      </c>
      <c r="E477" s="179">
        <v>478</v>
      </c>
      <c r="F477" s="179">
        <v>477</v>
      </c>
      <c r="G477" s="179">
        <v>477</v>
      </c>
      <c r="H477" s="85">
        <v>30600</v>
      </c>
    </row>
    <row r="478" spans="1:8" x14ac:dyDescent="0.2">
      <c r="A478" t="s">
        <v>147</v>
      </c>
      <c r="B478" s="180">
        <v>45014</v>
      </c>
      <c r="C478" s="181">
        <v>0.53611111111111109</v>
      </c>
      <c r="D478" s="179">
        <v>477</v>
      </c>
      <c r="E478" s="179">
        <v>477</v>
      </c>
      <c r="F478" s="179">
        <v>476</v>
      </c>
      <c r="G478" s="179">
        <v>476</v>
      </c>
      <c r="H478" s="85">
        <v>2900</v>
      </c>
    </row>
    <row r="479" spans="1:8" x14ac:dyDescent="0.2">
      <c r="A479" t="s">
        <v>147</v>
      </c>
      <c r="B479" s="180">
        <v>45014</v>
      </c>
      <c r="C479" s="181">
        <v>0.53680555555555554</v>
      </c>
      <c r="D479" s="179">
        <v>476</v>
      </c>
      <c r="E479" s="179">
        <v>477</v>
      </c>
      <c r="F479" s="179">
        <v>476</v>
      </c>
      <c r="G479" s="179">
        <v>476</v>
      </c>
      <c r="H479" s="85">
        <v>5700</v>
      </c>
    </row>
    <row r="480" spans="1:8" x14ac:dyDescent="0.2">
      <c r="A480" t="s">
        <v>147</v>
      </c>
      <c r="B480" s="180">
        <v>45014</v>
      </c>
      <c r="C480" s="181">
        <v>0.53749999999999998</v>
      </c>
      <c r="D480" s="179">
        <v>477</v>
      </c>
      <c r="E480" s="179">
        <v>477</v>
      </c>
      <c r="F480" s="179">
        <v>475</v>
      </c>
      <c r="G480" s="179">
        <v>476</v>
      </c>
      <c r="H480" s="85">
        <v>15000</v>
      </c>
    </row>
    <row r="481" spans="1:8" x14ac:dyDescent="0.2">
      <c r="A481" t="s">
        <v>147</v>
      </c>
      <c r="B481" s="180">
        <v>45014</v>
      </c>
      <c r="C481" s="181">
        <v>0.53819444444444442</v>
      </c>
      <c r="D481" s="179">
        <v>476</v>
      </c>
      <c r="E481" s="179">
        <v>476</v>
      </c>
      <c r="F481" s="179">
        <v>476</v>
      </c>
      <c r="G481" s="179">
        <v>476</v>
      </c>
      <c r="H481" s="85">
        <v>2200</v>
      </c>
    </row>
    <row r="482" spans="1:8" x14ac:dyDescent="0.2">
      <c r="A482" t="s">
        <v>147</v>
      </c>
      <c r="B482" s="180">
        <v>45014</v>
      </c>
      <c r="C482" s="181">
        <v>0.53888888888888886</v>
      </c>
      <c r="D482" s="179">
        <v>476</v>
      </c>
      <c r="E482" s="179">
        <v>477</v>
      </c>
      <c r="F482" s="179">
        <v>476</v>
      </c>
      <c r="G482" s="179">
        <v>476</v>
      </c>
      <c r="H482" s="85">
        <v>17400</v>
      </c>
    </row>
    <row r="483" spans="1:8" x14ac:dyDescent="0.2">
      <c r="A483" t="s">
        <v>147</v>
      </c>
      <c r="B483" s="180">
        <v>45014</v>
      </c>
      <c r="C483" s="181">
        <v>0.5395833333333333</v>
      </c>
      <c r="D483" s="179">
        <v>476</v>
      </c>
      <c r="E483" s="179">
        <v>476</v>
      </c>
      <c r="F483" s="179">
        <v>476</v>
      </c>
      <c r="G483" s="179">
        <v>476</v>
      </c>
      <c r="H483" s="85">
        <v>3100</v>
      </c>
    </row>
    <row r="484" spans="1:8" x14ac:dyDescent="0.2">
      <c r="A484" t="s">
        <v>147</v>
      </c>
      <c r="B484" s="180">
        <v>45014</v>
      </c>
      <c r="C484" s="181">
        <v>0.54027777777777775</v>
      </c>
      <c r="D484" s="179">
        <v>476</v>
      </c>
      <c r="E484" s="179">
        <v>476</v>
      </c>
      <c r="F484" s="179">
        <v>476</v>
      </c>
      <c r="G484" s="179">
        <v>476</v>
      </c>
      <c r="H484" s="85">
        <v>1700</v>
      </c>
    </row>
    <row r="485" spans="1:8" x14ac:dyDescent="0.2">
      <c r="A485" t="s">
        <v>147</v>
      </c>
      <c r="B485" s="180">
        <v>45014</v>
      </c>
      <c r="C485" s="181">
        <v>0.54097222222222219</v>
      </c>
      <c r="D485" s="179">
        <v>476</v>
      </c>
      <c r="E485" s="179">
        <v>476</v>
      </c>
      <c r="F485" s="179">
        <v>476</v>
      </c>
      <c r="G485" s="179">
        <v>476</v>
      </c>
      <c r="H485" s="85">
        <v>3600</v>
      </c>
    </row>
    <row r="486" spans="1:8" x14ac:dyDescent="0.2">
      <c r="A486" t="s">
        <v>147</v>
      </c>
      <c r="B486" s="180">
        <v>45014</v>
      </c>
      <c r="C486" s="181">
        <v>0.54166666666666663</v>
      </c>
      <c r="D486" s="179">
        <v>477</v>
      </c>
      <c r="E486" s="179">
        <v>477</v>
      </c>
      <c r="F486" s="179">
        <v>476</v>
      </c>
      <c r="G486" s="179">
        <v>476</v>
      </c>
      <c r="H486" s="85">
        <v>1100</v>
      </c>
    </row>
    <row r="487" spans="1:8" x14ac:dyDescent="0.2">
      <c r="A487" t="s">
        <v>147</v>
      </c>
      <c r="B487" s="180">
        <v>45014</v>
      </c>
      <c r="C487" s="181">
        <v>0.54236111111111118</v>
      </c>
      <c r="D487" s="179">
        <v>476</v>
      </c>
      <c r="E487" s="179">
        <v>476</v>
      </c>
      <c r="F487" s="179">
        <v>476</v>
      </c>
      <c r="G487" s="179">
        <v>476</v>
      </c>
      <c r="H487" s="85">
        <v>12000</v>
      </c>
    </row>
    <row r="488" spans="1:8" x14ac:dyDescent="0.2">
      <c r="A488" t="s">
        <v>147</v>
      </c>
      <c r="B488" s="180">
        <v>45014</v>
      </c>
      <c r="C488" s="181">
        <v>0.54305555555555551</v>
      </c>
      <c r="D488" s="179">
        <v>476</v>
      </c>
      <c r="E488" s="179">
        <v>476</v>
      </c>
      <c r="F488" s="179">
        <v>476</v>
      </c>
      <c r="G488" s="179">
        <v>476</v>
      </c>
      <c r="H488" s="85">
        <v>4400</v>
      </c>
    </row>
    <row r="489" spans="1:8" x14ac:dyDescent="0.2">
      <c r="A489" t="s">
        <v>147</v>
      </c>
      <c r="B489" s="180">
        <v>45014</v>
      </c>
      <c r="C489" s="181">
        <v>0.54375000000000007</v>
      </c>
      <c r="D489" s="179">
        <v>476</v>
      </c>
      <c r="E489" s="179">
        <v>476</v>
      </c>
      <c r="F489" s="179">
        <v>476</v>
      </c>
      <c r="G489" s="179">
        <v>476</v>
      </c>
      <c r="H489" s="85">
        <v>3500</v>
      </c>
    </row>
    <row r="490" spans="1:8" x14ac:dyDescent="0.2">
      <c r="A490" t="s">
        <v>147</v>
      </c>
      <c r="B490" s="180">
        <v>45014</v>
      </c>
      <c r="C490" s="181">
        <v>0.5444444444444444</v>
      </c>
      <c r="D490" s="179">
        <v>476</v>
      </c>
      <c r="E490" s="179">
        <v>477</v>
      </c>
      <c r="F490" s="179">
        <v>476</v>
      </c>
      <c r="G490" s="179">
        <v>476</v>
      </c>
      <c r="H490" s="85">
        <v>2400</v>
      </c>
    </row>
    <row r="491" spans="1:8" x14ac:dyDescent="0.2">
      <c r="A491" t="s">
        <v>147</v>
      </c>
      <c r="B491" s="180">
        <v>45014</v>
      </c>
      <c r="C491" s="181">
        <v>0.54513888888888895</v>
      </c>
      <c r="D491" s="179">
        <v>476</v>
      </c>
      <c r="E491" s="179">
        <v>477</v>
      </c>
      <c r="F491" s="179">
        <v>476</v>
      </c>
      <c r="G491" s="179">
        <v>476</v>
      </c>
      <c r="H491" s="85">
        <v>10300</v>
      </c>
    </row>
    <row r="492" spans="1:8" x14ac:dyDescent="0.2">
      <c r="A492" t="s">
        <v>147</v>
      </c>
      <c r="B492" s="180">
        <v>45014</v>
      </c>
      <c r="C492" s="181">
        <v>0.54583333333333328</v>
      </c>
      <c r="D492" s="179">
        <v>476</v>
      </c>
      <c r="E492" s="179">
        <v>476</v>
      </c>
      <c r="F492" s="179">
        <v>476</v>
      </c>
      <c r="G492" s="179">
        <v>476</v>
      </c>
      <c r="H492" s="85">
        <v>1400</v>
      </c>
    </row>
    <row r="493" spans="1:8" x14ac:dyDescent="0.2">
      <c r="A493" t="s">
        <v>147</v>
      </c>
      <c r="B493" s="180">
        <v>45014</v>
      </c>
      <c r="C493" s="181">
        <v>0.54652777777777783</v>
      </c>
      <c r="D493" s="179">
        <v>476</v>
      </c>
      <c r="E493" s="179">
        <v>476</v>
      </c>
      <c r="F493" s="179">
        <v>476</v>
      </c>
      <c r="G493" s="179">
        <v>476</v>
      </c>
      <c r="H493" s="85">
        <v>400</v>
      </c>
    </row>
    <row r="494" spans="1:8" x14ac:dyDescent="0.2">
      <c r="A494" t="s">
        <v>147</v>
      </c>
      <c r="B494" s="180">
        <v>45014</v>
      </c>
      <c r="C494" s="181">
        <v>0.54722222222222217</v>
      </c>
      <c r="D494" s="179">
        <v>476</v>
      </c>
      <c r="E494" s="179">
        <v>476</v>
      </c>
      <c r="F494" s="179">
        <v>475</v>
      </c>
      <c r="G494" s="179">
        <v>476</v>
      </c>
      <c r="H494" s="85">
        <v>6200</v>
      </c>
    </row>
    <row r="495" spans="1:8" x14ac:dyDescent="0.2">
      <c r="A495" t="s">
        <v>147</v>
      </c>
      <c r="B495" s="180">
        <v>45014</v>
      </c>
      <c r="C495" s="181">
        <v>0.54791666666666672</v>
      </c>
      <c r="D495" s="179">
        <v>476</v>
      </c>
      <c r="E495" s="179">
        <v>476</v>
      </c>
      <c r="F495" s="179">
        <v>476</v>
      </c>
      <c r="G495" s="179">
        <v>476</v>
      </c>
      <c r="H495" s="85">
        <v>2100</v>
      </c>
    </row>
    <row r="496" spans="1:8" x14ac:dyDescent="0.2">
      <c r="A496" t="s">
        <v>147</v>
      </c>
      <c r="B496" s="180">
        <v>45014</v>
      </c>
      <c r="C496" s="181">
        <v>0.54861111111111105</v>
      </c>
      <c r="D496" s="179">
        <v>475</v>
      </c>
      <c r="E496" s="179">
        <v>477</v>
      </c>
      <c r="F496" s="179">
        <v>475</v>
      </c>
      <c r="G496" s="179">
        <v>476</v>
      </c>
      <c r="H496" s="85">
        <v>28600</v>
      </c>
    </row>
    <row r="497" spans="1:8" x14ac:dyDescent="0.2">
      <c r="A497" t="s">
        <v>147</v>
      </c>
      <c r="B497" s="180">
        <v>45014</v>
      </c>
      <c r="C497" s="181">
        <v>0.5493055555555556</v>
      </c>
      <c r="D497" s="179">
        <v>476</v>
      </c>
      <c r="E497" s="179">
        <v>476</v>
      </c>
      <c r="F497" s="179">
        <v>475</v>
      </c>
      <c r="G497" s="179">
        <v>475</v>
      </c>
      <c r="H497" s="85">
        <v>3400</v>
      </c>
    </row>
    <row r="498" spans="1:8" x14ac:dyDescent="0.2">
      <c r="A498" t="s">
        <v>147</v>
      </c>
      <c r="B498" s="180">
        <v>45014</v>
      </c>
      <c r="C498" s="181">
        <v>0.54999999999999993</v>
      </c>
      <c r="D498" s="179">
        <v>476</v>
      </c>
      <c r="E498" s="179">
        <v>476</v>
      </c>
      <c r="F498" s="179">
        <v>476</v>
      </c>
      <c r="G498" s="179">
        <v>476</v>
      </c>
      <c r="H498" s="85">
        <v>13800</v>
      </c>
    </row>
    <row r="499" spans="1:8" x14ac:dyDescent="0.2">
      <c r="A499" t="s">
        <v>147</v>
      </c>
      <c r="B499" s="180">
        <v>45014</v>
      </c>
      <c r="C499" s="181">
        <v>0.55069444444444449</v>
      </c>
      <c r="D499" s="179">
        <v>476</v>
      </c>
      <c r="E499" s="179">
        <v>476</v>
      </c>
      <c r="F499" s="179">
        <v>476</v>
      </c>
      <c r="G499" s="179">
        <v>476</v>
      </c>
      <c r="H499" s="85">
        <v>700</v>
      </c>
    </row>
    <row r="500" spans="1:8" x14ac:dyDescent="0.2">
      <c r="A500" t="s">
        <v>147</v>
      </c>
      <c r="B500" s="180">
        <v>45014</v>
      </c>
      <c r="C500" s="181">
        <v>0.55138888888888882</v>
      </c>
      <c r="D500" s="179">
        <v>477</v>
      </c>
      <c r="E500" s="179">
        <v>477</v>
      </c>
      <c r="F500" s="179">
        <v>476</v>
      </c>
      <c r="G500" s="179">
        <v>476</v>
      </c>
      <c r="H500" s="85">
        <v>3500</v>
      </c>
    </row>
    <row r="501" spans="1:8" x14ac:dyDescent="0.2">
      <c r="A501" t="s">
        <v>147</v>
      </c>
      <c r="B501" s="180">
        <v>45014</v>
      </c>
      <c r="C501" s="181">
        <v>0.55208333333333337</v>
      </c>
      <c r="D501" s="179">
        <v>477</v>
      </c>
      <c r="E501" s="179">
        <v>477</v>
      </c>
      <c r="F501" s="179">
        <v>476</v>
      </c>
      <c r="G501" s="179">
        <v>476</v>
      </c>
      <c r="H501" s="85">
        <v>1300</v>
      </c>
    </row>
    <row r="502" spans="1:8" x14ac:dyDescent="0.2">
      <c r="A502" t="s">
        <v>147</v>
      </c>
      <c r="B502" s="180">
        <v>45014</v>
      </c>
      <c r="C502" s="181">
        <v>0.55277777777777781</v>
      </c>
      <c r="D502" s="179">
        <v>476</v>
      </c>
      <c r="E502" s="179">
        <v>476</v>
      </c>
      <c r="F502" s="179">
        <v>476</v>
      </c>
      <c r="G502" s="179">
        <v>476</v>
      </c>
      <c r="H502" s="85">
        <v>3400</v>
      </c>
    </row>
    <row r="503" spans="1:8" x14ac:dyDescent="0.2">
      <c r="A503" t="s">
        <v>147</v>
      </c>
      <c r="B503" s="180">
        <v>45014</v>
      </c>
      <c r="C503" s="181">
        <v>0.55347222222222225</v>
      </c>
      <c r="D503" s="179">
        <v>476</v>
      </c>
      <c r="E503" s="179">
        <v>477</v>
      </c>
      <c r="F503" s="179">
        <v>476</v>
      </c>
      <c r="G503" s="179">
        <v>476</v>
      </c>
      <c r="H503" s="85">
        <v>600</v>
      </c>
    </row>
    <row r="504" spans="1:8" x14ac:dyDescent="0.2">
      <c r="A504" t="s">
        <v>147</v>
      </c>
      <c r="B504" s="180">
        <v>45014</v>
      </c>
      <c r="C504" s="181">
        <v>0.5541666666666667</v>
      </c>
      <c r="D504" s="179">
        <v>477</v>
      </c>
      <c r="E504" s="179">
        <v>477</v>
      </c>
      <c r="F504" s="179">
        <v>476</v>
      </c>
      <c r="G504" s="179">
        <v>477</v>
      </c>
      <c r="H504" s="85">
        <v>3100</v>
      </c>
    </row>
    <row r="505" spans="1:8" x14ac:dyDescent="0.2">
      <c r="A505" t="s">
        <v>147</v>
      </c>
      <c r="B505" s="180">
        <v>45014</v>
      </c>
      <c r="C505" s="181">
        <v>0.55486111111111114</v>
      </c>
      <c r="D505" s="179">
        <v>477</v>
      </c>
      <c r="E505" s="179">
        <v>477</v>
      </c>
      <c r="F505" s="179">
        <v>476</v>
      </c>
      <c r="G505" s="179">
        <v>476</v>
      </c>
      <c r="H505" s="85">
        <v>800</v>
      </c>
    </row>
    <row r="506" spans="1:8" x14ac:dyDescent="0.2">
      <c r="A506" t="s">
        <v>147</v>
      </c>
      <c r="B506" s="180">
        <v>45014</v>
      </c>
      <c r="C506" s="181">
        <v>0.55555555555555558</v>
      </c>
      <c r="D506" s="179">
        <v>476</v>
      </c>
      <c r="E506" s="179">
        <v>477</v>
      </c>
      <c r="F506" s="179">
        <v>476</v>
      </c>
      <c r="G506" s="179">
        <v>477</v>
      </c>
      <c r="H506" s="85">
        <v>2500</v>
      </c>
    </row>
    <row r="507" spans="1:8" x14ac:dyDescent="0.2">
      <c r="A507" t="s">
        <v>147</v>
      </c>
      <c r="B507" s="180">
        <v>45014</v>
      </c>
      <c r="C507" s="181">
        <v>0.55625000000000002</v>
      </c>
      <c r="D507" s="179">
        <v>476</v>
      </c>
      <c r="E507" s="179">
        <v>477</v>
      </c>
      <c r="F507" s="179">
        <v>476</v>
      </c>
      <c r="G507" s="179">
        <v>477</v>
      </c>
      <c r="H507" s="85">
        <v>1300</v>
      </c>
    </row>
    <row r="508" spans="1:8" x14ac:dyDescent="0.2">
      <c r="A508" t="s">
        <v>147</v>
      </c>
      <c r="B508" s="180">
        <v>45014</v>
      </c>
      <c r="C508" s="181">
        <v>0.55694444444444446</v>
      </c>
      <c r="D508" s="179">
        <v>477</v>
      </c>
      <c r="E508" s="179">
        <v>477</v>
      </c>
      <c r="F508" s="179">
        <v>476</v>
      </c>
      <c r="G508" s="179">
        <v>477</v>
      </c>
      <c r="H508" s="85">
        <v>6600</v>
      </c>
    </row>
    <row r="509" spans="1:8" x14ac:dyDescent="0.2">
      <c r="A509" t="s">
        <v>147</v>
      </c>
      <c r="B509" s="180">
        <v>45014</v>
      </c>
      <c r="C509" s="181">
        <v>0.55763888888888891</v>
      </c>
      <c r="D509" s="179">
        <v>476</v>
      </c>
      <c r="E509" s="179">
        <v>476</v>
      </c>
      <c r="F509" s="179">
        <v>476</v>
      </c>
      <c r="G509" s="179">
        <v>476</v>
      </c>
      <c r="H509" s="85">
        <v>400</v>
      </c>
    </row>
    <row r="510" spans="1:8" x14ac:dyDescent="0.2">
      <c r="A510" t="s">
        <v>147</v>
      </c>
      <c r="B510" s="180">
        <v>45014</v>
      </c>
      <c r="C510" s="181">
        <v>0.55833333333333335</v>
      </c>
      <c r="D510" s="179">
        <v>476</v>
      </c>
      <c r="E510" s="179">
        <v>476</v>
      </c>
      <c r="F510" s="179">
        <v>476</v>
      </c>
      <c r="G510" s="179">
        <v>476</v>
      </c>
      <c r="H510" s="85">
        <v>400</v>
      </c>
    </row>
    <row r="511" spans="1:8" x14ac:dyDescent="0.2">
      <c r="A511" t="s">
        <v>147</v>
      </c>
      <c r="B511" s="180">
        <v>45014</v>
      </c>
      <c r="C511" s="181">
        <v>0.55902777777777779</v>
      </c>
      <c r="D511" s="179">
        <v>476</v>
      </c>
      <c r="E511" s="179">
        <v>476</v>
      </c>
      <c r="F511" s="179">
        <v>475</v>
      </c>
      <c r="G511" s="179">
        <v>475</v>
      </c>
      <c r="H511" s="85">
        <v>71300</v>
      </c>
    </row>
    <row r="512" spans="1:8" x14ac:dyDescent="0.2">
      <c r="A512" t="s">
        <v>147</v>
      </c>
      <c r="B512" s="180">
        <v>45014</v>
      </c>
      <c r="C512" s="181">
        <v>0.55972222222222223</v>
      </c>
      <c r="D512" s="179">
        <v>475</v>
      </c>
      <c r="E512" s="179">
        <v>475</v>
      </c>
      <c r="F512" s="179">
        <v>475</v>
      </c>
      <c r="G512" s="179">
        <v>475</v>
      </c>
      <c r="H512" s="85">
        <v>1600</v>
      </c>
    </row>
    <row r="513" spans="1:8" x14ac:dyDescent="0.2">
      <c r="A513" t="s">
        <v>147</v>
      </c>
      <c r="B513" s="180">
        <v>45014</v>
      </c>
      <c r="C513" s="181">
        <v>0.56041666666666667</v>
      </c>
      <c r="D513" s="179">
        <v>475</v>
      </c>
      <c r="E513" s="179">
        <v>475</v>
      </c>
      <c r="F513" s="179">
        <v>474</v>
      </c>
      <c r="G513" s="179">
        <v>474</v>
      </c>
      <c r="H513" s="85">
        <v>9800</v>
      </c>
    </row>
    <row r="514" spans="1:8" x14ac:dyDescent="0.2">
      <c r="A514" t="s">
        <v>147</v>
      </c>
      <c r="B514" s="180">
        <v>45014</v>
      </c>
      <c r="C514" s="181">
        <v>0.56111111111111112</v>
      </c>
      <c r="D514" s="179">
        <v>474</v>
      </c>
      <c r="E514" s="179">
        <v>475</v>
      </c>
      <c r="F514" s="179">
        <v>474</v>
      </c>
      <c r="G514" s="179">
        <v>474</v>
      </c>
      <c r="H514" s="85">
        <v>2000</v>
      </c>
    </row>
    <row r="515" spans="1:8" x14ac:dyDescent="0.2">
      <c r="A515" t="s">
        <v>147</v>
      </c>
      <c r="B515" s="180">
        <v>45014</v>
      </c>
      <c r="C515" s="181">
        <v>0.56180555555555556</v>
      </c>
      <c r="D515" s="179">
        <v>474</v>
      </c>
      <c r="E515" s="179">
        <v>475</v>
      </c>
      <c r="F515" s="179">
        <v>474</v>
      </c>
      <c r="G515" s="179">
        <v>474</v>
      </c>
      <c r="H515" s="85">
        <v>25500</v>
      </c>
    </row>
    <row r="516" spans="1:8" x14ac:dyDescent="0.2">
      <c r="A516" t="s">
        <v>147</v>
      </c>
      <c r="B516" s="180">
        <v>45014</v>
      </c>
      <c r="C516" s="181">
        <v>0.5625</v>
      </c>
      <c r="D516" s="179">
        <v>475</v>
      </c>
      <c r="E516" s="179">
        <v>475</v>
      </c>
      <c r="F516" s="179">
        <v>474</v>
      </c>
      <c r="G516" s="179">
        <v>474</v>
      </c>
      <c r="H516" s="85">
        <v>11200</v>
      </c>
    </row>
    <row r="517" spans="1:8" x14ac:dyDescent="0.2">
      <c r="A517" t="s">
        <v>147</v>
      </c>
      <c r="B517" s="180">
        <v>45014</v>
      </c>
      <c r="C517" s="181">
        <v>0.56319444444444444</v>
      </c>
      <c r="D517" s="179">
        <v>474</v>
      </c>
      <c r="E517" s="179">
        <v>474</v>
      </c>
      <c r="F517" s="179">
        <v>474</v>
      </c>
      <c r="G517" s="179">
        <v>474</v>
      </c>
      <c r="H517" s="85">
        <v>0</v>
      </c>
    </row>
    <row r="518" spans="1:8" x14ac:dyDescent="0.2">
      <c r="A518" t="s">
        <v>147</v>
      </c>
      <c r="B518" s="180">
        <v>45014</v>
      </c>
      <c r="C518" s="181">
        <v>0.56388888888888888</v>
      </c>
      <c r="D518" s="179">
        <v>475</v>
      </c>
      <c r="E518" s="179">
        <v>475</v>
      </c>
      <c r="F518" s="179">
        <v>474</v>
      </c>
      <c r="G518" s="179">
        <v>475</v>
      </c>
      <c r="H518" s="85">
        <v>9600</v>
      </c>
    </row>
    <row r="519" spans="1:8" x14ac:dyDescent="0.2">
      <c r="A519" t="s">
        <v>147</v>
      </c>
      <c r="B519" s="180">
        <v>45014</v>
      </c>
      <c r="C519" s="181">
        <v>0.56458333333333333</v>
      </c>
      <c r="D519" s="179">
        <v>475</v>
      </c>
      <c r="E519" s="179">
        <v>475</v>
      </c>
      <c r="F519" s="179">
        <v>474</v>
      </c>
      <c r="G519" s="179">
        <v>474</v>
      </c>
      <c r="H519" s="85">
        <v>4100</v>
      </c>
    </row>
    <row r="520" spans="1:8" x14ac:dyDescent="0.2">
      <c r="A520" t="s">
        <v>147</v>
      </c>
      <c r="B520" s="180">
        <v>45014</v>
      </c>
      <c r="C520" s="181">
        <v>0.56527777777777777</v>
      </c>
      <c r="D520" s="179">
        <v>475</v>
      </c>
      <c r="E520" s="179">
        <v>475</v>
      </c>
      <c r="F520" s="179">
        <v>475</v>
      </c>
      <c r="G520" s="179">
        <v>475</v>
      </c>
      <c r="H520" s="85">
        <v>4500</v>
      </c>
    </row>
    <row r="521" spans="1:8" x14ac:dyDescent="0.2">
      <c r="A521" t="s">
        <v>147</v>
      </c>
      <c r="B521" s="180">
        <v>45014</v>
      </c>
      <c r="C521" s="181">
        <v>0.56597222222222221</v>
      </c>
      <c r="D521" s="179">
        <v>475</v>
      </c>
      <c r="E521" s="179">
        <v>475</v>
      </c>
      <c r="F521" s="179">
        <v>474</v>
      </c>
      <c r="G521" s="179">
        <v>475</v>
      </c>
      <c r="H521" s="85">
        <v>2100</v>
      </c>
    </row>
    <row r="522" spans="1:8" x14ac:dyDescent="0.2">
      <c r="A522" t="s">
        <v>147</v>
      </c>
      <c r="B522" s="180">
        <v>45014</v>
      </c>
      <c r="C522" s="181">
        <v>0.56666666666666665</v>
      </c>
      <c r="D522" s="179">
        <v>475</v>
      </c>
      <c r="E522" s="179">
        <v>475</v>
      </c>
      <c r="F522" s="179">
        <v>474</v>
      </c>
      <c r="G522" s="179">
        <v>475</v>
      </c>
      <c r="H522" s="85">
        <v>2000</v>
      </c>
    </row>
    <row r="523" spans="1:8" x14ac:dyDescent="0.2">
      <c r="A523" t="s">
        <v>147</v>
      </c>
      <c r="B523" s="180">
        <v>45014</v>
      </c>
      <c r="C523" s="181">
        <v>0.56736111111111109</v>
      </c>
      <c r="D523" s="179">
        <v>474</v>
      </c>
      <c r="E523" s="179">
        <v>475</v>
      </c>
      <c r="F523" s="179">
        <v>474</v>
      </c>
      <c r="G523" s="179">
        <v>474</v>
      </c>
      <c r="H523" s="85">
        <v>1300</v>
      </c>
    </row>
    <row r="524" spans="1:8" x14ac:dyDescent="0.2">
      <c r="A524" t="s">
        <v>147</v>
      </c>
      <c r="B524" s="180">
        <v>45014</v>
      </c>
      <c r="C524" s="181">
        <v>0.56805555555555554</v>
      </c>
      <c r="D524" s="179">
        <v>475</v>
      </c>
      <c r="E524" s="179">
        <v>475</v>
      </c>
      <c r="F524" s="179">
        <v>474</v>
      </c>
      <c r="G524" s="179">
        <v>474</v>
      </c>
      <c r="H524" s="85">
        <v>41100</v>
      </c>
    </row>
    <row r="525" spans="1:8" x14ac:dyDescent="0.2">
      <c r="A525" t="s">
        <v>147</v>
      </c>
      <c r="B525" s="180">
        <v>45014</v>
      </c>
      <c r="C525" s="181">
        <v>0.56874999999999998</v>
      </c>
      <c r="D525" s="179">
        <v>474</v>
      </c>
      <c r="E525" s="179">
        <v>474</v>
      </c>
      <c r="F525" s="179">
        <v>474</v>
      </c>
      <c r="G525" s="179">
        <v>474</v>
      </c>
      <c r="H525" s="85">
        <v>2100</v>
      </c>
    </row>
    <row r="526" spans="1:8" x14ac:dyDescent="0.2">
      <c r="A526" t="s">
        <v>147</v>
      </c>
      <c r="B526" s="180">
        <v>45014</v>
      </c>
      <c r="C526" s="181">
        <v>0.56944444444444442</v>
      </c>
      <c r="D526" s="179">
        <v>474</v>
      </c>
      <c r="E526" s="179">
        <v>474</v>
      </c>
      <c r="F526" s="179">
        <v>473</v>
      </c>
      <c r="G526" s="179">
        <v>474</v>
      </c>
      <c r="H526" s="85">
        <v>8600</v>
      </c>
    </row>
    <row r="527" spans="1:8" x14ac:dyDescent="0.2">
      <c r="A527" t="s">
        <v>147</v>
      </c>
      <c r="B527" s="180">
        <v>45014</v>
      </c>
      <c r="C527" s="181">
        <v>0.57013888888888886</v>
      </c>
      <c r="D527" s="179">
        <v>473</v>
      </c>
      <c r="E527" s="179">
        <v>473</v>
      </c>
      <c r="F527" s="179">
        <v>473</v>
      </c>
      <c r="G527" s="179">
        <v>473</v>
      </c>
      <c r="H527" s="85">
        <v>400</v>
      </c>
    </row>
    <row r="528" spans="1:8" x14ac:dyDescent="0.2">
      <c r="A528" t="s">
        <v>147</v>
      </c>
      <c r="B528" s="180">
        <v>45014</v>
      </c>
      <c r="C528" s="181">
        <v>0.5708333333333333</v>
      </c>
      <c r="D528" s="179">
        <v>473</v>
      </c>
      <c r="E528" s="179">
        <v>473</v>
      </c>
      <c r="F528" s="179">
        <v>473</v>
      </c>
      <c r="G528" s="179">
        <v>473</v>
      </c>
      <c r="H528" s="85">
        <v>1900</v>
      </c>
    </row>
    <row r="529" spans="1:8" x14ac:dyDescent="0.2">
      <c r="A529" t="s">
        <v>147</v>
      </c>
      <c r="B529" s="180">
        <v>45014</v>
      </c>
      <c r="C529" s="181">
        <v>0.57152777777777775</v>
      </c>
      <c r="D529" s="179">
        <v>474</v>
      </c>
      <c r="E529" s="179">
        <v>474</v>
      </c>
      <c r="F529" s="179">
        <v>473</v>
      </c>
      <c r="G529" s="179">
        <v>474</v>
      </c>
      <c r="H529" s="85">
        <v>2100</v>
      </c>
    </row>
    <row r="530" spans="1:8" x14ac:dyDescent="0.2">
      <c r="A530" t="s">
        <v>147</v>
      </c>
      <c r="B530" s="180">
        <v>45014</v>
      </c>
      <c r="C530" s="181">
        <v>0.57222222222222219</v>
      </c>
      <c r="D530" s="179">
        <v>473</v>
      </c>
      <c r="E530" s="179">
        <v>474</v>
      </c>
      <c r="F530" s="179">
        <v>473</v>
      </c>
      <c r="G530" s="179">
        <v>473</v>
      </c>
      <c r="H530" s="85">
        <v>4500</v>
      </c>
    </row>
    <row r="531" spans="1:8" x14ac:dyDescent="0.2">
      <c r="A531" t="s">
        <v>147</v>
      </c>
      <c r="B531" s="180">
        <v>45014</v>
      </c>
      <c r="C531" s="181">
        <v>0.57291666666666663</v>
      </c>
      <c r="D531" s="179">
        <v>474</v>
      </c>
      <c r="E531" s="179">
        <v>474</v>
      </c>
      <c r="F531" s="179">
        <v>473</v>
      </c>
      <c r="G531" s="179">
        <v>474</v>
      </c>
      <c r="H531" s="85">
        <v>3700</v>
      </c>
    </row>
    <row r="532" spans="1:8" x14ac:dyDescent="0.2">
      <c r="A532" t="s">
        <v>147</v>
      </c>
      <c r="B532" s="180">
        <v>45014</v>
      </c>
      <c r="C532" s="181">
        <v>0.57361111111111118</v>
      </c>
      <c r="D532" s="179">
        <v>474</v>
      </c>
      <c r="E532" s="179">
        <v>474</v>
      </c>
      <c r="F532" s="179">
        <v>473</v>
      </c>
      <c r="G532" s="179">
        <v>473</v>
      </c>
      <c r="H532" s="85">
        <v>1200</v>
      </c>
    </row>
    <row r="533" spans="1:8" x14ac:dyDescent="0.2">
      <c r="A533" t="s">
        <v>147</v>
      </c>
      <c r="B533" s="180">
        <v>45014</v>
      </c>
      <c r="C533" s="181">
        <v>0.57430555555555551</v>
      </c>
      <c r="D533" s="179">
        <v>474</v>
      </c>
      <c r="E533" s="179">
        <v>474</v>
      </c>
      <c r="F533" s="179">
        <v>473</v>
      </c>
      <c r="G533" s="179">
        <v>474</v>
      </c>
      <c r="H533" s="85">
        <v>1000</v>
      </c>
    </row>
    <row r="534" spans="1:8" x14ac:dyDescent="0.2">
      <c r="A534" t="s">
        <v>147</v>
      </c>
      <c r="B534" s="180">
        <v>45014</v>
      </c>
      <c r="C534" s="181">
        <v>0.57500000000000007</v>
      </c>
      <c r="D534" s="179">
        <v>473</v>
      </c>
      <c r="E534" s="179">
        <v>475</v>
      </c>
      <c r="F534" s="179">
        <v>473</v>
      </c>
      <c r="G534" s="179">
        <v>475</v>
      </c>
      <c r="H534" s="85">
        <v>31500</v>
      </c>
    </row>
    <row r="535" spans="1:8" x14ac:dyDescent="0.2">
      <c r="A535" t="s">
        <v>147</v>
      </c>
      <c r="B535" s="180">
        <v>45014</v>
      </c>
      <c r="C535" s="181">
        <v>0.5756944444444444</v>
      </c>
      <c r="D535" s="179">
        <v>474</v>
      </c>
      <c r="E535" s="179">
        <v>475</v>
      </c>
      <c r="F535" s="179">
        <v>474</v>
      </c>
      <c r="G535" s="179">
        <v>474</v>
      </c>
      <c r="H535" s="85">
        <v>6200</v>
      </c>
    </row>
    <row r="536" spans="1:8" x14ac:dyDescent="0.2">
      <c r="A536" t="s">
        <v>147</v>
      </c>
      <c r="B536" s="180">
        <v>45014</v>
      </c>
      <c r="C536" s="181">
        <v>0.57638888888888895</v>
      </c>
      <c r="D536" s="179">
        <v>474</v>
      </c>
      <c r="E536" s="179">
        <v>475</v>
      </c>
      <c r="F536" s="179">
        <v>474</v>
      </c>
      <c r="G536" s="179">
        <v>474</v>
      </c>
      <c r="H536" s="85">
        <v>29500</v>
      </c>
    </row>
    <row r="537" spans="1:8" x14ac:dyDescent="0.2">
      <c r="A537" t="s">
        <v>147</v>
      </c>
      <c r="B537" s="180">
        <v>45014</v>
      </c>
      <c r="C537" s="181">
        <v>0.57708333333333328</v>
      </c>
      <c r="D537" s="179">
        <v>474</v>
      </c>
      <c r="E537" s="179">
        <v>474</v>
      </c>
      <c r="F537" s="179">
        <v>474</v>
      </c>
      <c r="G537" s="179">
        <v>474</v>
      </c>
      <c r="H537" s="85">
        <v>300</v>
      </c>
    </row>
    <row r="538" spans="1:8" x14ac:dyDescent="0.2">
      <c r="A538" t="s">
        <v>147</v>
      </c>
      <c r="B538" s="180">
        <v>45014</v>
      </c>
      <c r="C538" s="181">
        <v>0.57777777777777783</v>
      </c>
      <c r="D538" s="179">
        <v>474</v>
      </c>
      <c r="E538" s="179">
        <v>475</v>
      </c>
      <c r="F538" s="179">
        <v>474</v>
      </c>
      <c r="G538" s="179">
        <v>475</v>
      </c>
      <c r="H538" s="85">
        <v>1600</v>
      </c>
    </row>
    <row r="539" spans="1:8" x14ac:dyDescent="0.2">
      <c r="A539" t="s">
        <v>147</v>
      </c>
      <c r="B539" s="180">
        <v>45014</v>
      </c>
      <c r="C539" s="181">
        <v>0.57847222222222217</v>
      </c>
      <c r="D539" s="179">
        <v>474</v>
      </c>
      <c r="E539" s="179">
        <v>474</v>
      </c>
      <c r="F539" s="179">
        <v>474</v>
      </c>
      <c r="G539" s="179">
        <v>474</v>
      </c>
      <c r="H539" s="85">
        <v>900</v>
      </c>
    </row>
    <row r="540" spans="1:8" x14ac:dyDescent="0.2">
      <c r="A540" t="s">
        <v>147</v>
      </c>
      <c r="B540" s="180">
        <v>45014</v>
      </c>
      <c r="C540" s="181">
        <v>0.57916666666666672</v>
      </c>
      <c r="D540" s="179">
        <v>475</v>
      </c>
      <c r="E540" s="179">
        <v>475</v>
      </c>
      <c r="F540" s="179">
        <v>474</v>
      </c>
      <c r="G540" s="179">
        <v>474</v>
      </c>
      <c r="H540" s="85">
        <v>24000</v>
      </c>
    </row>
    <row r="541" spans="1:8" x14ac:dyDescent="0.2">
      <c r="A541" t="s">
        <v>147</v>
      </c>
      <c r="B541" s="180">
        <v>45014</v>
      </c>
      <c r="C541" s="181">
        <v>0.57986111111111105</v>
      </c>
      <c r="D541" s="179">
        <v>474</v>
      </c>
      <c r="E541" s="179">
        <v>475</v>
      </c>
      <c r="F541" s="179">
        <v>474</v>
      </c>
      <c r="G541" s="179">
        <v>475</v>
      </c>
      <c r="H541" s="85">
        <v>2600</v>
      </c>
    </row>
    <row r="542" spans="1:8" x14ac:dyDescent="0.2">
      <c r="A542" t="s">
        <v>147</v>
      </c>
      <c r="B542" s="180">
        <v>45014</v>
      </c>
      <c r="C542" s="181">
        <v>0.5805555555555556</v>
      </c>
      <c r="D542" s="179">
        <v>475</v>
      </c>
      <c r="E542" s="179">
        <v>475</v>
      </c>
      <c r="F542" s="179">
        <v>474</v>
      </c>
      <c r="G542" s="179">
        <v>474</v>
      </c>
      <c r="H542" s="85">
        <v>4800</v>
      </c>
    </row>
    <row r="543" spans="1:8" x14ac:dyDescent="0.2">
      <c r="A543" t="s">
        <v>147</v>
      </c>
      <c r="B543" s="180">
        <v>45014</v>
      </c>
      <c r="C543" s="181">
        <v>0.58124999999999993</v>
      </c>
      <c r="D543" s="179">
        <v>475</v>
      </c>
      <c r="E543" s="179">
        <v>476</v>
      </c>
      <c r="F543" s="179">
        <v>474</v>
      </c>
      <c r="G543" s="179">
        <v>476</v>
      </c>
      <c r="H543" s="85">
        <v>8000</v>
      </c>
    </row>
    <row r="544" spans="1:8" x14ac:dyDescent="0.2">
      <c r="A544" t="s">
        <v>147</v>
      </c>
      <c r="B544" s="180">
        <v>45014</v>
      </c>
      <c r="C544" s="181">
        <v>0.58194444444444449</v>
      </c>
      <c r="D544" s="179">
        <v>476</v>
      </c>
      <c r="E544" s="179">
        <v>477</v>
      </c>
      <c r="F544" s="179">
        <v>476</v>
      </c>
      <c r="G544" s="179">
        <v>477</v>
      </c>
      <c r="H544" s="85">
        <v>49400</v>
      </c>
    </row>
    <row r="545" spans="1:8" x14ac:dyDescent="0.2">
      <c r="A545" t="s">
        <v>147</v>
      </c>
      <c r="B545" s="180">
        <v>45014</v>
      </c>
      <c r="C545" s="181">
        <v>0.58263888888888882</v>
      </c>
      <c r="D545" s="179">
        <v>476</v>
      </c>
      <c r="E545" s="179">
        <v>476</v>
      </c>
      <c r="F545" s="179">
        <v>476</v>
      </c>
      <c r="G545" s="179">
        <v>476</v>
      </c>
      <c r="H545" s="85">
        <v>2800</v>
      </c>
    </row>
    <row r="546" spans="1:8" x14ac:dyDescent="0.2">
      <c r="A546" t="s">
        <v>147</v>
      </c>
      <c r="B546" s="180">
        <v>45014</v>
      </c>
      <c r="C546" s="181">
        <v>0.58333333333333337</v>
      </c>
      <c r="D546" s="179">
        <v>476</v>
      </c>
      <c r="E546" s="179">
        <v>476</v>
      </c>
      <c r="F546" s="179">
        <v>476</v>
      </c>
      <c r="G546" s="179">
        <v>476</v>
      </c>
      <c r="H546" s="85">
        <v>13200</v>
      </c>
    </row>
    <row r="547" spans="1:8" x14ac:dyDescent="0.2">
      <c r="A547" t="s">
        <v>147</v>
      </c>
      <c r="B547" s="180">
        <v>45014</v>
      </c>
      <c r="C547" s="181">
        <v>0.58402777777777781</v>
      </c>
      <c r="D547" s="179">
        <v>477</v>
      </c>
      <c r="E547" s="179">
        <v>477</v>
      </c>
      <c r="F547" s="179">
        <v>476</v>
      </c>
      <c r="G547" s="179">
        <v>476</v>
      </c>
      <c r="H547" s="85">
        <v>600</v>
      </c>
    </row>
    <row r="548" spans="1:8" x14ac:dyDescent="0.2">
      <c r="A548" t="s">
        <v>147</v>
      </c>
      <c r="B548" s="180">
        <v>45014</v>
      </c>
      <c r="C548" s="181">
        <v>0.58472222222222225</v>
      </c>
      <c r="D548" s="179">
        <v>477</v>
      </c>
      <c r="E548" s="179">
        <v>477</v>
      </c>
      <c r="F548" s="179">
        <v>477</v>
      </c>
      <c r="G548" s="179">
        <v>477</v>
      </c>
      <c r="H548" s="85">
        <v>200</v>
      </c>
    </row>
    <row r="549" spans="1:8" x14ac:dyDescent="0.2">
      <c r="A549" t="s">
        <v>147</v>
      </c>
      <c r="B549" s="180">
        <v>45014</v>
      </c>
      <c r="C549" s="181">
        <v>0.5854166666666667</v>
      </c>
      <c r="D549" s="179">
        <v>477</v>
      </c>
      <c r="E549" s="179">
        <v>477</v>
      </c>
      <c r="F549" s="179">
        <v>476</v>
      </c>
      <c r="G549" s="179">
        <v>476</v>
      </c>
      <c r="H549" s="85">
        <v>14800</v>
      </c>
    </row>
    <row r="550" spans="1:8" x14ac:dyDescent="0.2">
      <c r="A550" t="s">
        <v>147</v>
      </c>
      <c r="B550" s="180">
        <v>45014</v>
      </c>
      <c r="C550" s="181">
        <v>0.58611111111111114</v>
      </c>
      <c r="D550" s="179">
        <v>477</v>
      </c>
      <c r="E550" s="179">
        <v>477</v>
      </c>
      <c r="F550" s="179">
        <v>476</v>
      </c>
      <c r="G550" s="179">
        <v>476</v>
      </c>
      <c r="H550" s="85">
        <v>1200</v>
      </c>
    </row>
    <row r="551" spans="1:8" x14ac:dyDescent="0.2">
      <c r="A551" t="s">
        <v>147</v>
      </c>
      <c r="B551" s="180">
        <v>45014</v>
      </c>
      <c r="C551" s="181">
        <v>0.58680555555555558</v>
      </c>
      <c r="D551" s="179">
        <v>477</v>
      </c>
      <c r="E551" s="179">
        <v>477</v>
      </c>
      <c r="F551" s="179">
        <v>476</v>
      </c>
      <c r="G551" s="179">
        <v>477</v>
      </c>
      <c r="H551" s="85">
        <v>1400</v>
      </c>
    </row>
    <row r="552" spans="1:8" x14ac:dyDescent="0.2">
      <c r="A552" t="s">
        <v>147</v>
      </c>
      <c r="B552" s="180">
        <v>45014</v>
      </c>
      <c r="C552" s="181">
        <v>0.58750000000000002</v>
      </c>
      <c r="D552" s="179">
        <v>477</v>
      </c>
      <c r="E552" s="179">
        <v>477</v>
      </c>
      <c r="F552" s="179">
        <v>476</v>
      </c>
      <c r="G552" s="179">
        <v>476</v>
      </c>
      <c r="H552" s="85">
        <v>1500</v>
      </c>
    </row>
    <row r="553" spans="1:8" x14ac:dyDescent="0.2">
      <c r="A553" t="s">
        <v>147</v>
      </c>
      <c r="B553" s="180">
        <v>45014</v>
      </c>
      <c r="C553" s="181">
        <v>0.58819444444444446</v>
      </c>
      <c r="D553" s="179">
        <v>476</v>
      </c>
      <c r="E553" s="179">
        <v>476</v>
      </c>
      <c r="F553" s="179">
        <v>476</v>
      </c>
      <c r="G553" s="179">
        <v>476</v>
      </c>
      <c r="H553" s="85">
        <v>10200</v>
      </c>
    </row>
    <row r="554" spans="1:8" x14ac:dyDescent="0.2">
      <c r="A554" t="s">
        <v>147</v>
      </c>
      <c r="B554" s="180">
        <v>45014</v>
      </c>
      <c r="C554" s="181">
        <v>0.58888888888888891</v>
      </c>
      <c r="D554" s="179">
        <v>476</v>
      </c>
      <c r="E554" s="179">
        <v>476</v>
      </c>
      <c r="F554" s="179">
        <v>476</v>
      </c>
      <c r="G554" s="179">
        <v>476</v>
      </c>
      <c r="H554" s="85">
        <v>1300</v>
      </c>
    </row>
    <row r="555" spans="1:8" x14ac:dyDescent="0.2">
      <c r="A555" t="s">
        <v>147</v>
      </c>
      <c r="B555" s="180">
        <v>45014</v>
      </c>
      <c r="C555" s="181">
        <v>0.58958333333333335</v>
      </c>
      <c r="D555" s="179">
        <v>476</v>
      </c>
      <c r="E555" s="179">
        <v>477</v>
      </c>
      <c r="F555" s="179">
        <v>476</v>
      </c>
      <c r="G555" s="179">
        <v>476</v>
      </c>
      <c r="H555" s="85">
        <v>1200</v>
      </c>
    </row>
    <row r="556" spans="1:8" x14ac:dyDescent="0.2">
      <c r="A556" t="s">
        <v>147</v>
      </c>
      <c r="B556" s="180">
        <v>45014</v>
      </c>
      <c r="C556" s="181">
        <v>0.59027777777777779</v>
      </c>
      <c r="D556" s="179">
        <v>477</v>
      </c>
      <c r="E556" s="179">
        <v>477</v>
      </c>
      <c r="F556" s="179">
        <v>476</v>
      </c>
      <c r="G556" s="179">
        <v>476</v>
      </c>
      <c r="H556" s="85">
        <v>3600</v>
      </c>
    </row>
    <row r="557" spans="1:8" x14ac:dyDescent="0.2">
      <c r="A557" t="s">
        <v>147</v>
      </c>
      <c r="B557" s="180">
        <v>45014</v>
      </c>
      <c r="C557" s="181">
        <v>0.59097222222222223</v>
      </c>
      <c r="D557" s="179">
        <v>476</v>
      </c>
      <c r="E557" s="179">
        <v>477</v>
      </c>
      <c r="F557" s="179">
        <v>476</v>
      </c>
      <c r="G557" s="179">
        <v>477</v>
      </c>
      <c r="H557" s="85">
        <v>2200</v>
      </c>
    </row>
    <row r="558" spans="1:8" x14ac:dyDescent="0.2">
      <c r="A558" t="s">
        <v>147</v>
      </c>
      <c r="B558" s="180">
        <v>45014</v>
      </c>
      <c r="C558" s="181">
        <v>0.59166666666666667</v>
      </c>
      <c r="D558" s="179">
        <v>477</v>
      </c>
      <c r="E558" s="179">
        <v>477</v>
      </c>
      <c r="F558" s="179">
        <v>476</v>
      </c>
      <c r="G558" s="179">
        <v>477</v>
      </c>
      <c r="H558" s="85">
        <v>1300</v>
      </c>
    </row>
    <row r="559" spans="1:8" x14ac:dyDescent="0.2">
      <c r="A559" t="s">
        <v>147</v>
      </c>
      <c r="B559" s="180">
        <v>45014</v>
      </c>
      <c r="C559" s="181">
        <v>0.59236111111111112</v>
      </c>
      <c r="D559" s="179">
        <v>476</v>
      </c>
      <c r="E559" s="179">
        <v>476</v>
      </c>
      <c r="F559" s="179">
        <v>476</v>
      </c>
      <c r="G559" s="179">
        <v>476</v>
      </c>
      <c r="H559" s="85">
        <v>13000</v>
      </c>
    </row>
    <row r="560" spans="1:8" x14ac:dyDescent="0.2">
      <c r="A560" t="s">
        <v>147</v>
      </c>
      <c r="B560" s="180">
        <v>45014</v>
      </c>
      <c r="C560" s="181">
        <v>0.59305555555555556</v>
      </c>
      <c r="D560" s="179">
        <v>476</v>
      </c>
      <c r="E560" s="179">
        <v>476</v>
      </c>
      <c r="F560" s="179">
        <v>476</v>
      </c>
      <c r="G560" s="179">
        <v>476</v>
      </c>
      <c r="H560" s="85">
        <v>7700</v>
      </c>
    </row>
    <row r="561" spans="1:8" x14ac:dyDescent="0.2">
      <c r="A561" t="s">
        <v>147</v>
      </c>
      <c r="B561" s="180">
        <v>45014</v>
      </c>
      <c r="C561" s="181">
        <v>0.59375</v>
      </c>
      <c r="D561" s="179">
        <v>476</v>
      </c>
      <c r="E561" s="179">
        <v>476</v>
      </c>
      <c r="F561" s="179">
        <v>475</v>
      </c>
      <c r="G561" s="179">
        <v>476</v>
      </c>
      <c r="H561" s="85">
        <v>19500</v>
      </c>
    </row>
    <row r="562" spans="1:8" x14ac:dyDescent="0.2">
      <c r="A562" t="s">
        <v>147</v>
      </c>
      <c r="B562" s="180">
        <v>45014</v>
      </c>
      <c r="C562" s="181">
        <v>0.59444444444444444</v>
      </c>
      <c r="D562" s="179">
        <v>475</v>
      </c>
      <c r="E562" s="179">
        <v>475</v>
      </c>
      <c r="F562" s="179">
        <v>475</v>
      </c>
      <c r="G562" s="179">
        <v>475</v>
      </c>
      <c r="H562" s="85">
        <v>100</v>
      </c>
    </row>
    <row r="563" spans="1:8" x14ac:dyDescent="0.2">
      <c r="A563" t="s">
        <v>147</v>
      </c>
      <c r="B563" s="180">
        <v>45014</v>
      </c>
      <c r="C563" s="181">
        <v>0.59513888888888888</v>
      </c>
      <c r="D563" s="179">
        <v>475</v>
      </c>
      <c r="E563" s="179">
        <v>476</v>
      </c>
      <c r="F563" s="179">
        <v>475</v>
      </c>
      <c r="G563" s="179">
        <v>476</v>
      </c>
      <c r="H563" s="85">
        <v>4300</v>
      </c>
    </row>
    <row r="564" spans="1:8" x14ac:dyDescent="0.2">
      <c r="A564" t="s">
        <v>147</v>
      </c>
      <c r="B564" s="180">
        <v>45014</v>
      </c>
      <c r="C564" s="181">
        <v>0.59583333333333333</v>
      </c>
      <c r="D564" s="179">
        <v>475</v>
      </c>
      <c r="E564" s="179">
        <v>475</v>
      </c>
      <c r="F564" s="179">
        <v>475</v>
      </c>
      <c r="G564" s="179">
        <v>475</v>
      </c>
      <c r="H564" s="85">
        <v>15000</v>
      </c>
    </row>
    <row r="565" spans="1:8" x14ac:dyDescent="0.2">
      <c r="A565" t="s">
        <v>147</v>
      </c>
      <c r="B565" s="180">
        <v>45014</v>
      </c>
      <c r="C565" s="181">
        <v>0.59652777777777777</v>
      </c>
      <c r="D565" s="179">
        <v>475</v>
      </c>
      <c r="E565" s="179">
        <v>475</v>
      </c>
      <c r="F565" s="179">
        <v>475</v>
      </c>
      <c r="G565" s="179">
        <v>475</v>
      </c>
      <c r="H565" s="85">
        <v>2500</v>
      </c>
    </row>
    <row r="566" spans="1:8" x14ac:dyDescent="0.2">
      <c r="A566" t="s">
        <v>147</v>
      </c>
      <c r="B566" s="180">
        <v>45014</v>
      </c>
      <c r="C566" s="181">
        <v>0.59722222222222221</v>
      </c>
      <c r="D566" s="179">
        <v>475</v>
      </c>
      <c r="E566" s="179">
        <v>476</v>
      </c>
      <c r="F566" s="179">
        <v>475</v>
      </c>
      <c r="G566" s="179">
        <v>476</v>
      </c>
      <c r="H566" s="85">
        <v>300</v>
      </c>
    </row>
    <row r="567" spans="1:8" x14ac:dyDescent="0.2">
      <c r="A567" t="s">
        <v>147</v>
      </c>
      <c r="B567" s="180">
        <v>45014</v>
      </c>
      <c r="C567" s="181">
        <v>0.59791666666666665</v>
      </c>
      <c r="D567" s="179">
        <v>475</v>
      </c>
      <c r="E567" s="179">
        <v>476</v>
      </c>
      <c r="F567" s="179">
        <v>475</v>
      </c>
      <c r="G567" s="179">
        <v>475</v>
      </c>
      <c r="H567" s="85">
        <v>3500</v>
      </c>
    </row>
    <row r="568" spans="1:8" x14ac:dyDescent="0.2">
      <c r="A568" t="s">
        <v>147</v>
      </c>
      <c r="B568" s="180">
        <v>45014</v>
      </c>
      <c r="C568" s="181">
        <v>0.59861111111111109</v>
      </c>
      <c r="D568" s="179">
        <v>476</v>
      </c>
      <c r="E568" s="179">
        <v>476</v>
      </c>
      <c r="F568" s="179">
        <v>474</v>
      </c>
      <c r="G568" s="179">
        <v>475</v>
      </c>
      <c r="H568" s="85">
        <v>40500</v>
      </c>
    </row>
    <row r="569" spans="1:8" x14ac:dyDescent="0.2">
      <c r="A569" t="s">
        <v>147</v>
      </c>
      <c r="B569" s="180">
        <v>45014</v>
      </c>
      <c r="C569" s="181">
        <v>0.59930555555555554</v>
      </c>
      <c r="D569" s="179">
        <v>475</v>
      </c>
      <c r="E569" s="179">
        <v>475</v>
      </c>
      <c r="F569" s="179">
        <v>475</v>
      </c>
      <c r="G569" s="179">
        <v>475</v>
      </c>
      <c r="H569" s="85">
        <v>10000</v>
      </c>
    </row>
    <row r="570" spans="1:8" x14ac:dyDescent="0.2">
      <c r="A570" t="s">
        <v>147</v>
      </c>
      <c r="B570" s="180">
        <v>45014</v>
      </c>
      <c r="C570" s="181">
        <v>0.6</v>
      </c>
      <c r="D570" s="179">
        <v>475</v>
      </c>
      <c r="E570" s="179">
        <v>475</v>
      </c>
      <c r="F570" s="179">
        <v>475</v>
      </c>
      <c r="G570" s="179">
        <v>475</v>
      </c>
      <c r="H570" s="85">
        <v>10000</v>
      </c>
    </row>
    <row r="571" spans="1:8" x14ac:dyDescent="0.2">
      <c r="A571" t="s">
        <v>147</v>
      </c>
      <c r="B571" s="180">
        <v>45014</v>
      </c>
      <c r="C571" s="181">
        <v>0.60069444444444442</v>
      </c>
      <c r="D571" s="179">
        <v>475</v>
      </c>
      <c r="E571" s="179">
        <v>475</v>
      </c>
      <c r="F571" s="179">
        <v>475</v>
      </c>
      <c r="G571" s="179">
        <v>475</v>
      </c>
      <c r="H571" s="85">
        <v>100</v>
      </c>
    </row>
    <row r="572" spans="1:8" x14ac:dyDescent="0.2">
      <c r="A572" t="s">
        <v>147</v>
      </c>
      <c r="B572" s="180">
        <v>45014</v>
      </c>
      <c r="C572" s="181">
        <v>0.60138888888888886</v>
      </c>
      <c r="D572" s="179">
        <v>475</v>
      </c>
      <c r="E572" s="179">
        <v>475</v>
      </c>
      <c r="F572" s="179">
        <v>475</v>
      </c>
      <c r="G572" s="179">
        <v>475</v>
      </c>
      <c r="H572" s="85">
        <v>12500</v>
      </c>
    </row>
    <row r="573" spans="1:8" x14ac:dyDescent="0.2">
      <c r="A573" t="s">
        <v>147</v>
      </c>
      <c r="B573" s="180">
        <v>45014</v>
      </c>
      <c r="C573" s="181">
        <v>0.6020833333333333</v>
      </c>
      <c r="D573" s="179">
        <v>475</v>
      </c>
      <c r="E573" s="179">
        <v>475</v>
      </c>
      <c r="F573" s="179">
        <v>475</v>
      </c>
      <c r="G573" s="179">
        <v>475</v>
      </c>
      <c r="H573" s="85">
        <v>400</v>
      </c>
    </row>
    <row r="574" spans="1:8" x14ac:dyDescent="0.2">
      <c r="A574" t="s">
        <v>147</v>
      </c>
      <c r="B574" s="180">
        <v>45014</v>
      </c>
      <c r="C574" s="181">
        <v>0.60277777777777775</v>
      </c>
      <c r="D574" s="179">
        <v>475</v>
      </c>
      <c r="E574" s="179">
        <v>475</v>
      </c>
      <c r="F574" s="179">
        <v>475</v>
      </c>
      <c r="G574" s="179">
        <v>475</v>
      </c>
      <c r="H574" s="85">
        <v>500</v>
      </c>
    </row>
    <row r="575" spans="1:8" x14ac:dyDescent="0.2">
      <c r="A575" t="s">
        <v>147</v>
      </c>
      <c r="B575" s="180">
        <v>45014</v>
      </c>
      <c r="C575" s="181">
        <v>0.60347222222222219</v>
      </c>
      <c r="D575" s="179">
        <v>475</v>
      </c>
      <c r="E575" s="179">
        <v>475</v>
      </c>
      <c r="F575" s="179">
        <v>475</v>
      </c>
      <c r="G575" s="179">
        <v>475</v>
      </c>
      <c r="H575" s="85">
        <v>2300</v>
      </c>
    </row>
    <row r="576" spans="1:8" x14ac:dyDescent="0.2">
      <c r="A576" t="s">
        <v>147</v>
      </c>
      <c r="B576" s="180">
        <v>45014</v>
      </c>
      <c r="C576" s="181">
        <v>0.60416666666666663</v>
      </c>
      <c r="D576" s="179">
        <v>476</v>
      </c>
      <c r="E576" s="179">
        <v>476</v>
      </c>
      <c r="F576" s="179">
        <v>475</v>
      </c>
      <c r="G576" s="179">
        <v>476</v>
      </c>
      <c r="H576" s="85">
        <v>2300</v>
      </c>
    </row>
    <row r="577" spans="1:8" x14ac:dyDescent="0.2">
      <c r="A577" t="s">
        <v>147</v>
      </c>
      <c r="B577" s="180">
        <v>45014</v>
      </c>
      <c r="C577" s="181">
        <v>0.60486111111111118</v>
      </c>
      <c r="D577" s="179">
        <v>475</v>
      </c>
      <c r="E577" s="179">
        <v>476</v>
      </c>
      <c r="F577" s="179">
        <v>475</v>
      </c>
      <c r="G577" s="179">
        <v>476</v>
      </c>
      <c r="H577" s="85">
        <v>3000</v>
      </c>
    </row>
    <row r="578" spans="1:8" x14ac:dyDescent="0.2">
      <c r="A578" t="s">
        <v>147</v>
      </c>
      <c r="B578" s="180">
        <v>45014</v>
      </c>
      <c r="C578" s="181">
        <v>0.60555555555555551</v>
      </c>
      <c r="D578" s="179">
        <v>475</v>
      </c>
      <c r="E578" s="179">
        <v>475</v>
      </c>
      <c r="F578" s="179">
        <v>475</v>
      </c>
      <c r="G578" s="179">
        <v>475</v>
      </c>
      <c r="H578" s="85">
        <v>10500</v>
      </c>
    </row>
    <row r="579" spans="1:8" x14ac:dyDescent="0.2">
      <c r="A579" t="s">
        <v>147</v>
      </c>
      <c r="B579" s="180">
        <v>45014</v>
      </c>
      <c r="C579" s="181">
        <v>0.60625000000000007</v>
      </c>
      <c r="D579" s="179">
        <v>476</v>
      </c>
      <c r="E579" s="179">
        <v>476</v>
      </c>
      <c r="F579" s="179">
        <v>475</v>
      </c>
      <c r="G579" s="179">
        <v>476</v>
      </c>
      <c r="H579" s="85">
        <v>29900</v>
      </c>
    </row>
    <row r="580" spans="1:8" x14ac:dyDescent="0.2">
      <c r="A580" t="s">
        <v>147</v>
      </c>
      <c r="B580" s="180">
        <v>45014</v>
      </c>
      <c r="C580" s="181">
        <v>0.6069444444444444</v>
      </c>
      <c r="D580" s="179">
        <v>475</v>
      </c>
      <c r="E580" s="179">
        <v>476</v>
      </c>
      <c r="F580" s="179">
        <v>475</v>
      </c>
      <c r="G580" s="179">
        <v>476</v>
      </c>
      <c r="H580" s="85">
        <v>4100</v>
      </c>
    </row>
    <row r="581" spans="1:8" x14ac:dyDescent="0.2">
      <c r="A581" t="s">
        <v>147</v>
      </c>
      <c r="B581" s="180">
        <v>45014</v>
      </c>
      <c r="C581" s="181">
        <v>0.60763888888888895</v>
      </c>
      <c r="D581" s="179">
        <v>475</v>
      </c>
      <c r="E581" s="179">
        <v>475</v>
      </c>
      <c r="F581" s="179">
        <v>475</v>
      </c>
      <c r="G581" s="179">
        <v>475</v>
      </c>
      <c r="H581" s="85">
        <v>1100</v>
      </c>
    </row>
    <row r="582" spans="1:8" x14ac:dyDescent="0.2">
      <c r="A582" t="s">
        <v>147</v>
      </c>
      <c r="B582" s="180">
        <v>45014</v>
      </c>
      <c r="C582" s="181">
        <v>0.60833333333333328</v>
      </c>
      <c r="D582" s="179">
        <v>475</v>
      </c>
      <c r="E582" s="179">
        <v>475</v>
      </c>
      <c r="F582" s="179">
        <v>475</v>
      </c>
      <c r="G582" s="179">
        <v>475</v>
      </c>
      <c r="H582" s="85">
        <v>600</v>
      </c>
    </row>
    <row r="583" spans="1:8" x14ac:dyDescent="0.2">
      <c r="A583" t="s">
        <v>147</v>
      </c>
      <c r="B583" s="180">
        <v>45014</v>
      </c>
      <c r="C583" s="181">
        <v>0.60902777777777783</v>
      </c>
      <c r="D583" s="179">
        <v>476</v>
      </c>
      <c r="E583" s="179">
        <v>477</v>
      </c>
      <c r="F583" s="179">
        <v>475</v>
      </c>
      <c r="G583" s="179">
        <v>477</v>
      </c>
      <c r="H583" s="85">
        <v>34100</v>
      </c>
    </row>
    <row r="584" spans="1:8" x14ac:dyDescent="0.2">
      <c r="A584" t="s">
        <v>147</v>
      </c>
      <c r="B584" s="180">
        <v>45014</v>
      </c>
      <c r="C584" s="181">
        <v>0.60972222222222217</v>
      </c>
      <c r="D584" s="179">
        <v>476</v>
      </c>
      <c r="E584" s="179">
        <v>476</v>
      </c>
      <c r="F584" s="179">
        <v>476</v>
      </c>
      <c r="G584" s="179">
        <v>476</v>
      </c>
      <c r="H584" s="85">
        <v>2300</v>
      </c>
    </row>
    <row r="585" spans="1:8" x14ac:dyDescent="0.2">
      <c r="A585" t="s">
        <v>147</v>
      </c>
      <c r="B585" s="180">
        <v>45014</v>
      </c>
      <c r="C585" s="181">
        <v>0.61041666666666672</v>
      </c>
      <c r="D585" s="179">
        <v>477</v>
      </c>
      <c r="E585" s="179">
        <v>477</v>
      </c>
      <c r="F585" s="179">
        <v>477</v>
      </c>
      <c r="G585" s="179">
        <v>477</v>
      </c>
      <c r="H585" s="85">
        <v>1200</v>
      </c>
    </row>
    <row r="586" spans="1:8" x14ac:dyDescent="0.2">
      <c r="A586" t="s">
        <v>147</v>
      </c>
      <c r="B586" s="180">
        <v>45014</v>
      </c>
      <c r="C586" s="181">
        <v>0.61111111111111105</v>
      </c>
      <c r="D586" s="179">
        <v>477</v>
      </c>
      <c r="E586" s="179">
        <v>477</v>
      </c>
      <c r="F586" s="179">
        <v>476</v>
      </c>
      <c r="G586" s="179">
        <v>477</v>
      </c>
      <c r="H586" s="85">
        <v>3500</v>
      </c>
    </row>
    <row r="587" spans="1:8" x14ac:dyDescent="0.2">
      <c r="A587" t="s">
        <v>147</v>
      </c>
      <c r="B587" s="180">
        <v>45014</v>
      </c>
      <c r="C587" s="181">
        <v>0.6118055555555556</v>
      </c>
      <c r="D587" s="179">
        <v>477</v>
      </c>
      <c r="E587" s="179">
        <v>477</v>
      </c>
      <c r="F587" s="179">
        <v>476</v>
      </c>
      <c r="G587" s="179">
        <v>477</v>
      </c>
      <c r="H587" s="85">
        <v>4900</v>
      </c>
    </row>
    <row r="588" spans="1:8" x14ac:dyDescent="0.2">
      <c r="A588" t="s">
        <v>147</v>
      </c>
      <c r="B588" s="180">
        <v>45014</v>
      </c>
      <c r="C588" s="181">
        <v>0.61249999999999993</v>
      </c>
      <c r="D588" s="179">
        <v>477</v>
      </c>
      <c r="E588" s="179">
        <v>477</v>
      </c>
      <c r="F588" s="179">
        <v>476</v>
      </c>
      <c r="G588" s="179">
        <v>477</v>
      </c>
      <c r="H588" s="85">
        <v>1300</v>
      </c>
    </row>
    <row r="589" spans="1:8" x14ac:dyDescent="0.2">
      <c r="A589" t="s">
        <v>147</v>
      </c>
      <c r="B589" s="180">
        <v>45014</v>
      </c>
      <c r="C589" s="181">
        <v>0.61319444444444449</v>
      </c>
      <c r="D589" s="179">
        <v>477</v>
      </c>
      <c r="E589" s="179">
        <v>477</v>
      </c>
      <c r="F589" s="179">
        <v>475</v>
      </c>
      <c r="G589" s="179">
        <v>476</v>
      </c>
      <c r="H589" s="85">
        <v>15300</v>
      </c>
    </row>
    <row r="590" spans="1:8" x14ac:dyDescent="0.2">
      <c r="A590" t="s">
        <v>147</v>
      </c>
      <c r="B590" s="180">
        <v>45014</v>
      </c>
      <c r="C590" s="181">
        <v>0.61388888888888882</v>
      </c>
      <c r="D590" s="179">
        <v>476</v>
      </c>
      <c r="E590" s="179">
        <v>477</v>
      </c>
      <c r="F590" s="179">
        <v>475</v>
      </c>
      <c r="G590" s="179">
        <v>475</v>
      </c>
      <c r="H590" s="85">
        <v>19700</v>
      </c>
    </row>
    <row r="591" spans="1:8" x14ac:dyDescent="0.2">
      <c r="A591" t="s">
        <v>147</v>
      </c>
      <c r="B591" s="180">
        <v>45014</v>
      </c>
      <c r="C591" s="181">
        <v>0.61458333333333337</v>
      </c>
      <c r="D591" s="179">
        <v>476</v>
      </c>
      <c r="E591" s="179">
        <v>477</v>
      </c>
      <c r="F591" s="179">
        <v>476</v>
      </c>
      <c r="G591" s="179">
        <v>476</v>
      </c>
      <c r="H591" s="85">
        <v>25400</v>
      </c>
    </row>
    <row r="592" spans="1:8" x14ac:dyDescent="0.2">
      <c r="A592" t="s">
        <v>147</v>
      </c>
      <c r="B592" s="180">
        <v>45014</v>
      </c>
      <c r="C592" s="181">
        <v>0.61527777777777781</v>
      </c>
      <c r="D592" s="179">
        <v>475</v>
      </c>
      <c r="E592" s="179">
        <v>477</v>
      </c>
      <c r="F592" s="179">
        <v>475</v>
      </c>
      <c r="G592" s="179">
        <v>477</v>
      </c>
      <c r="H592" s="85">
        <v>10000</v>
      </c>
    </row>
    <row r="593" spans="1:8" x14ac:dyDescent="0.2">
      <c r="A593" t="s">
        <v>147</v>
      </c>
      <c r="B593" s="180">
        <v>45014</v>
      </c>
      <c r="C593" s="181">
        <v>0.61597222222222225</v>
      </c>
      <c r="D593" s="179">
        <v>476</v>
      </c>
      <c r="E593" s="179">
        <v>476</v>
      </c>
      <c r="F593" s="179">
        <v>476</v>
      </c>
      <c r="G593" s="179">
        <v>476</v>
      </c>
      <c r="H593" s="85">
        <v>8400</v>
      </c>
    </row>
    <row r="594" spans="1:8" x14ac:dyDescent="0.2">
      <c r="A594" t="s">
        <v>147</v>
      </c>
      <c r="B594" s="180">
        <v>45014</v>
      </c>
      <c r="C594" s="181">
        <v>0.6166666666666667</v>
      </c>
      <c r="D594" s="179">
        <v>476</v>
      </c>
      <c r="E594" s="179">
        <v>476</v>
      </c>
      <c r="F594" s="179">
        <v>475</v>
      </c>
      <c r="G594" s="179">
        <v>476</v>
      </c>
      <c r="H594" s="85">
        <v>28900</v>
      </c>
    </row>
    <row r="595" spans="1:8" x14ac:dyDescent="0.2">
      <c r="A595" t="s">
        <v>147</v>
      </c>
      <c r="B595" s="180">
        <v>45014</v>
      </c>
      <c r="C595" s="181">
        <v>0.61736111111111114</v>
      </c>
      <c r="D595" s="179">
        <v>476</v>
      </c>
      <c r="E595" s="179">
        <v>476</v>
      </c>
      <c r="F595" s="179">
        <v>476</v>
      </c>
      <c r="G595" s="179">
        <v>476</v>
      </c>
      <c r="H595" s="85">
        <v>1000</v>
      </c>
    </row>
    <row r="596" spans="1:8" x14ac:dyDescent="0.2">
      <c r="A596" t="s">
        <v>147</v>
      </c>
      <c r="B596" s="180">
        <v>45014</v>
      </c>
      <c r="C596" s="181">
        <v>0.61805555555555558</v>
      </c>
      <c r="D596" s="179">
        <v>476</v>
      </c>
      <c r="E596" s="179">
        <v>477</v>
      </c>
      <c r="F596" s="179">
        <v>476</v>
      </c>
      <c r="G596" s="179">
        <v>476</v>
      </c>
      <c r="H596" s="85">
        <v>21600</v>
      </c>
    </row>
    <row r="597" spans="1:8" x14ac:dyDescent="0.2">
      <c r="A597" t="s">
        <v>147</v>
      </c>
      <c r="B597" s="180">
        <v>45014</v>
      </c>
      <c r="C597" s="181">
        <v>0.61875000000000002</v>
      </c>
      <c r="D597" s="179">
        <v>476</v>
      </c>
      <c r="E597" s="179">
        <v>477</v>
      </c>
      <c r="F597" s="179">
        <v>476</v>
      </c>
      <c r="G597" s="179">
        <v>477</v>
      </c>
      <c r="H597" s="85">
        <v>500</v>
      </c>
    </row>
    <row r="598" spans="1:8" x14ac:dyDescent="0.2">
      <c r="A598" t="s">
        <v>147</v>
      </c>
      <c r="B598" s="180">
        <v>45014</v>
      </c>
      <c r="C598" s="181">
        <v>0.61944444444444446</v>
      </c>
      <c r="D598" s="179">
        <v>477</v>
      </c>
      <c r="E598" s="179">
        <v>477</v>
      </c>
      <c r="F598" s="179">
        <v>477</v>
      </c>
      <c r="G598" s="179">
        <v>477</v>
      </c>
      <c r="H598" s="85">
        <v>60300</v>
      </c>
    </row>
    <row r="599" spans="1:8" x14ac:dyDescent="0.2">
      <c r="A599" t="s">
        <v>147</v>
      </c>
      <c r="B599" s="180">
        <v>45014</v>
      </c>
      <c r="C599" s="181">
        <v>0.62013888888888891</v>
      </c>
      <c r="D599" s="179">
        <v>477</v>
      </c>
      <c r="E599" s="179">
        <v>478</v>
      </c>
      <c r="F599" s="179">
        <v>477</v>
      </c>
      <c r="G599" s="179">
        <v>477</v>
      </c>
      <c r="H599" s="85">
        <v>8700</v>
      </c>
    </row>
    <row r="600" spans="1:8" x14ac:dyDescent="0.2">
      <c r="A600" t="s">
        <v>147</v>
      </c>
      <c r="B600" s="180">
        <v>45014</v>
      </c>
      <c r="C600" s="181">
        <v>0.62083333333333335</v>
      </c>
      <c r="D600" s="179">
        <v>477</v>
      </c>
      <c r="E600" s="179">
        <v>477</v>
      </c>
      <c r="F600" s="179">
        <v>477</v>
      </c>
      <c r="G600" s="179">
        <v>477</v>
      </c>
      <c r="H600" s="85">
        <v>200</v>
      </c>
    </row>
    <row r="601" spans="1:8" x14ac:dyDescent="0.2">
      <c r="A601" t="s">
        <v>147</v>
      </c>
      <c r="B601" s="180">
        <v>45014</v>
      </c>
      <c r="C601" s="181">
        <v>0.62152777777777779</v>
      </c>
      <c r="D601" s="179">
        <v>477</v>
      </c>
      <c r="E601" s="179">
        <v>478</v>
      </c>
      <c r="F601" s="179">
        <v>477</v>
      </c>
      <c r="G601" s="179">
        <v>477</v>
      </c>
      <c r="H601" s="85">
        <v>10500</v>
      </c>
    </row>
    <row r="602" spans="1:8" x14ac:dyDescent="0.2">
      <c r="A602" t="s">
        <v>147</v>
      </c>
      <c r="B602" s="180">
        <v>45014</v>
      </c>
      <c r="C602" s="181">
        <v>0.62222222222222223</v>
      </c>
      <c r="D602" s="179">
        <v>478</v>
      </c>
      <c r="E602" s="179">
        <v>478</v>
      </c>
      <c r="F602" s="179">
        <v>477</v>
      </c>
      <c r="G602" s="179">
        <v>478</v>
      </c>
      <c r="H602" s="85">
        <v>3300</v>
      </c>
    </row>
    <row r="603" spans="1:8" x14ac:dyDescent="0.2">
      <c r="A603" t="s">
        <v>147</v>
      </c>
      <c r="B603" s="180">
        <v>45014</v>
      </c>
      <c r="C603" s="181">
        <v>0.62291666666666667</v>
      </c>
      <c r="D603" s="179">
        <v>477</v>
      </c>
      <c r="E603" s="179">
        <v>478</v>
      </c>
      <c r="F603" s="179">
        <v>477</v>
      </c>
      <c r="G603" s="179">
        <v>478</v>
      </c>
      <c r="H603" s="85">
        <v>11000</v>
      </c>
    </row>
    <row r="604" spans="1:8" x14ac:dyDescent="0.2">
      <c r="A604" t="s">
        <v>147</v>
      </c>
      <c r="B604" s="180">
        <v>45014</v>
      </c>
      <c r="C604" s="181">
        <v>0.62361111111111112</v>
      </c>
      <c r="D604" s="179">
        <v>477</v>
      </c>
      <c r="E604" s="179">
        <v>478</v>
      </c>
      <c r="F604" s="179">
        <v>477</v>
      </c>
      <c r="G604" s="179">
        <v>477</v>
      </c>
      <c r="H604" s="85">
        <v>12100</v>
      </c>
    </row>
    <row r="605" spans="1:8" x14ac:dyDescent="0.2">
      <c r="A605" t="s">
        <v>147</v>
      </c>
      <c r="B605" s="180">
        <v>45014</v>
      </c>
      <c r="C605" s="181">
        <v>0.62430555555555556</v>
      </c>
      <c r="D605" s="179">
        <v>478</v>
      </c>
      <c r="E605" s="179">
        <v>479</v>
      </c>
      <c r="F605" s="179">
        <v>477</v>
      </c>
      <c r="G605" s="179">
        <v>479</v>
      </c>
      <c r="H605" s="85">
        <v>54200</v>
      </c>
    </row>
    <row r="606" spans="1:8" x14ac:dyDescent="0.2">
      <c r="A606" t="s">
        <v>147</v>
      </c>
      <c r="B606" s="180">
        <v>45014</v>
      </c>
      <c r="C606" s="181">
        <v>0.625</v>
      </c>
      <c r="D606" s="179">
        <v>480</v>
      </c>
      <c r="E606" s="179">
        <v>480</v>
      </c>
      <c r="F606" s="179">
        <v>480</v>
      </c>
      <c r="G606" s="179">
        <v>480</v>
      </c>
      <c r="H606" s="85">
        <v>374600</v>
      </c>
    </row>
    <row r="607" spans="1:8" x14ac:dyDescent="0.2">
      <c r="A607" t="s">
        <v>147</v>
      </c>
      <c r="B607" s="180">
        <v>45015</v>
      </c>
      <c r="C607" s="181">
        <v>0.375</v>
      </c>
      <c r="D607" s="179">
        <v>460</v>
      </c>
      <c r="E607" s="179">
        <v>460</v>
      </c>
      <c r="F607" s="179">
        <v>457</v>
      </c>
      <c r="G607" s="179">
        <v>458</v>
      </c>
      <c r="H607" s="85">
        <v>202400</v>
      </c>
    </row>
    <row r="608" spans="1:8" x14ac:dyDescent="0.2">
      <c r="A608" t="s">
        <v>147</v>
      </c>
      <c r="B608" s="180">
        <v>45015</v>
      </c>
      <c r="C608" s="181">
        <v>0.3756944444444445</v>
      </c>
      <c r="D608" s="179">
        <v>457</v>
      </c>
      <c r="E608" s="179">
        <v>457</v>
      </c>
      <c r="F608" s="179">
        <v>455</v>
      </c>
      <c r="G608" s="179">
        <v>456</v>
      </c>
      <c r="H608" s="85">
        <v>33100</v>
      </c>
    </row>
    <row r="609" spans="1:8" x14ac:dyDescent="0.2">
      <c r="A609" t="s">
        <v>147</v>
      </c>
      <c r="B609" s="180">
        <v>45015</v>
      </c>
      <c r="C609" s="181">
        <v>0.37638888888888888</v>
      </c>
      <c r="D609" s="179">
        <v>456</v>
      </c>
      <c r="E609" s="179">
        <v>456</v>
      </c>
      <c r="F609" s="179">
        <v>455</v>
      </c>
      <c r="G609" s="179">
        <v>455</v>
      </c>
      <c r="H609" s="85">
        <v>32800</v>
      </c>
    </row>
    <row r="610" spans="1:8" x14ac:dyDescent="0.2">
      <c r="A610" t="s">
        <v>147</v>
      </c>
      <c r="B610" s="180">
        <v>45015</v>
      </c>
      <c r="C610" s="181">
        <v>0.37708333333333338</v>
      </c>
      <c r="D610" s="179">
        <v>454</v>
      </c>
      <c r="E610" s="179">
        <v>455</v>
      </c>
      <c r="F610" s="179">
        <v>454</v>
      </c>
      <c r="G610" s="179">
        <v>455</v>
      </c>
      <c r="H610" s="85">
        <v>40400</v>
      </c>
    </row>
    <row r="611" spans="1:8" x14ac:dyDescent="0.2">
      <c r="A611" t="s">
        <v>147</v>
      </c>
      <c r="B611" s="180">
        <v>45015</v>
      </c>
      <c r="C611" s="181">
        <v>0.37777777777777777</v>
      </c>
      <c r="D611" s="179">
        <v>455</v>
      </c>
      <c r="E611" s="179">
        <v>457</v>
      </c>
      <c r="F611" s="179">
        <v>455</v>
      </c>
      <c r="G611" s="179">
        <v>457</v>
      </c>
      <c r="H611" s="85">
        <v>20600</v>
      </c>
    </row>
    <row r="612" spans="1:8" x14ac:dyDescent="0.2">
      <c r="A612" t="s">
        <v>147</v>
      </c>
      <c r="B612" s="180">
        <v>45015</v>
      </c>
      <c r="C612" s="181">
        <v>0.37847222222222227</v>
      </c>
      <c r="D612" s="179">
        <v>457</v>
      </c>
      <c r="E612" s="179">
        <v>457</v>
      </c>
      <c r="F612" s="179">
        <v>456</v>
      </c>
      <c r="G612" s="179">
        <v>456</v>
      </c>
      <c r="H612" s="85">
        <v>11000</v>
      </c>
    </row>
    <row r="613" spans="1:8" x14ac:dyDescent="0.2">
      <c r="A613" t="s">
        <v>147</v>
      </c>
      <c r="B613" s="180">
        <v>45015</v>
      </c>
      <c r="C613" s="181">
        <v>0.37916666666666665</v>
      </c>
      <c r="D613" s="179">
        <v>457</v>
      </c>
      <c r="E613" s="179">
        <v>460</v>
      </c>
      <c r="F613" s="179">
        <v>457</v>
      </c>
      <c r="G613" s="179">
        <v>459</v>
      </c>
      <c r="H613" s="85">
        <v>50800</v>
      </c>
    </row>
    <row r="614" spans="1:8" x14ac:dyDescent="0.2">
      <c r="A614" t="s">
        <v>147</v>
      </c>
      <c r="B614" s="180">
        <v>45015</v>
      </c>
      <c r="C614" s="181">
        <v>0.37986111111111115</v>
      </c>
      <c r="D614" s="179">
        <v>459</v>
      </c>
      <c r="E614" s="179">
        <v>460</v>
      </c>
      <c r="F614" s="179">
        <v>459</v>
      </c>
      <c r="G614" s="179">
        <v>460</v>
      </c>
      <c r="H614" s="85">
        <v>9600</v>
      </c>
    </row>
    <row r="615" spans="1:8" x14ac:dyDescent="0.2">
      <c r="A615" t="s">
        <v>147</v>
      </c>
      <c r="B615" s="180">
        <v>45015</v>
      </c>
      <c r="C615" s="181">
        <v>0.38055555555555554</v>
      </c>
      <c r="D615" s="179">
        <v>460</v>
      </c>
      <c r="E615" s="179">
        <v>463</v>
      </c>
      <c r="F615" s="179">
        <v>459</v>
      </c>
      <c r="G615" s="179">
        <v>460</v>
      </c>
      <c r="H615" s="85">
        <v>40200</v>
      </c>
    </row>
    <row r="616" spans="1:8" x14ac:dyDescent="0.2">
      <c r="A616" t="s">
        <v>147</v>
      </c>
      <c r="B616" s="180">
        <v>45015</v>
      </c>
      <c r="C616" s="181">
        <v>0.38125000000000003</v>
      </c>
      <c r="D616" s="179">
        <v>458</v>
      </c>
      <c r="E616" s="179">
        <v>459</v>
      </c>
      <c r="F616" s="179">
        <v>458</v>
      </c>
      <c r="G616" s="179">
        <v>458</v>
      </c>
      <c r="H616" s="85">
        <v>7500</v>
      </c>
    </row>
    <row r="617" spans="1:8" x14ac:dyDescent="0.2">
      <c r="A617" t="s">
        <v>147</v>
      </c>
      <c r="B617" s="180">
        <v>45015</v>
      </c>
      <c r="C617" s="181">
        <v>0.38194444444444442</v>
      </c>
      <c r="D617" s="179">
        <v>458</v>
      </c>
      <c r="E617" s="179">
        <v>458</v>
      </c>
      <c r="F617" s="179">
        <v>458</v>
      </c>
      <c r="G617" s="179">
        <v>458</v>
      </c>
      <c r="H617" s="85">
        <v>6700</v>
      </c>
    </row>
    <row r="618" spans="1:8" x14ac:dyDescent="0.2">
      <c r="A618" t="s">
        <v>147</v>
      </c>
      <c r="B618" s="180">
        <v>45015</v>
      </c>
      <c r="C618" s="181">
        <v>0.38263888888888892</v>
      </c>
      <c r="D618" s="179">
        <v>459</v>
      </c>
      <c r="E618" s="179">
        <v>459</v>
      </c>
      <c r="F618" s="179">
        <v>455</v>
      </c>
      <c r="G618" s="179">
        <v>456</v>
      </c>
      <c r="H618" s="85">
        <v>28700</v>
      </c>
    </row>
    <row r="619" spans="1:8" x14ac:dyDescent="0.2">
      <c r="A619" t="s">
        <v>147</v>
      </c>
      <c r="B619" s="180">
        <v>45015</v>
      </c>
      <c r="C619" s="181">
        <v>0.3833333333333333</v>
      </c>
      <c r="D619" s="179">
        <v>456</v>
      </c>
      <c r="E619" s="179">
        <v>456</v>
      </c>
      <c r="F619" s="179">
        <v>454</v>
      </c>
      <c r="G619" s="179">
        <v>455</v>
      </c>
      <c r="H619" s="85">
        <v>31300</v>
      </c>
    </row>
    <row r="620" spans="1:8" x14ac:dyDescent="0.2">
      <c r="A620" t="s">
        <v>147</v>
      </c>
      <c r="B620" s="180">
        <v>45015</v>
      </c>
      <c r="C620" s="181">
        <v>0.3840277777777778</v>
      </c>
      <c r="D620" s="179">
        <v>455</v>
      </c>
      <c r="E620" s="179">
        <v>456</v>
      </c>
      <c r="F620" s="179">
        <v>455</v>
      </c>
      <c r="G620" s="179">
        <v>456</v>
      </c>
      <c r="H620" s="85">
        <v>6200</v>
      </c>
    </row>
    <row r="621" spans="1:8" x14ac:dyDescent="0.2">
      <c r="A621" t="s">
        <v>147</v>
      </c>
      <c r="B621" s="180">
        <v>45015</v>
      </c>
      <c r="C621" s="181">
        <v>0.38472222222222219</v>
      </c>
      <c r="D621" s="179">
        <v>456</v>
      </c>
      <c r="E621" s="179">
        <v>458</v>
      </c>
      <c r="F621" s="179">
        <v>456</v>
      </c>
      <c r="G621" s="179">
        <v>458</v>
      </c>
      <c r="H621" s="85">
        <v>18000</v>
      </c>
    </row>
    <row r="622" spans="1:8" x14ac:dyDescent="0.2">
      <c r="A622" t="s">
        <v>147</v>
      </c>
      <c r="B622" s="180">
        <v>45015</v>
      </c>
      <c r="C622" s="181">
        <v>0.38541666666666669</v>
      </c>
      <c r="D622" s="179">
        <v>459</v>
      </c>
      <c r="E622" s="179">
        <v>460</v>
      </c>
      <c r="F622" s="179">
        <v>459</v>
      </c>
      <c r="G622" s="179">
        <v>460</v>
      </c>
      <c r="H622" s="85">
        <v>11900</v>
      </c>
    </row>
    <row r="623" spans="1:8" x14ac:dyDescent="0.2">
      <c r="A623" t="s">
        <v>147</v>
      </c>
      <c r="B623" s="180">
        <v>45015</v>
      </c>
      <c r="C623" s="181">
        <v>0.38611111111111113</v>
      </c>
      <c r="D623" s="179">
        <v>460</v>
      </c>
      <c r="E623" s="179">
        <v>460</v>
      </c>
      <c r="F623" s="179">
        <v>459</v>
      </c>
      <c r="G623" s="179">
        <v>459</v>
      </c>
      <c r="H623" s="85">
        <v>1100</v>
      </c>
    </row>
    <row r="624" spans="1:8" x14ac:dyDescent="0.2">
      <c r="A624" t="s">
        <v>147</v>
      </c>
      <c r="B624" s="180">
        <v>45015</v>
      </c>
      <c r="C624" s="181">
        <v>0.38680555555555557</v>
      </c>
      <c r="D624" s="179">
        <v>459</v>
      </c>
      <c r="E624" s="179">
        <v>459</v>
      </c>
      <c r="F624" s="179">
        <v>458</v>
      </c>
      <c r="G624" s="179">
        <v>458</v>
      </c>
      <c r="H624" s="85">
        <v>6600</v>
      </c>
    </row>
    <row r="625" spans="1:8" x14ac:dyDescent="0.2">
      <c r="A625" t="s">
        <v>147</v>
      </c>
      <c r="B625" s="180">
        <v>45015</v>
      </c>
      <c r="C625" s="181">
        <v>0.38750000000000001</v>
      </c>
      <c r="D625" s="179">
        <v>458</v>
      </c>
      <c r="E625" s="179">
        <v>459</v>
      </c>
      <c r="F625" s="179">
        <v>458</v>
      </c>
      <c r="G625" s="179">
        <v>459</v>
      </c>
      <c r="H625" s="85">
        <v>2200</v>
      </c>
    </row>
    <row r="626" spans="1:8" x14ac:dyDescent="0.2">
      <c r="A626" t="s">
        <v>147</v>
      </c>
      <c r="B626" s="180">
        <v>45015</v>
      </c>
      <c r="C626" s="181">
        <v>0.38819444444444445</v>
      </c>
      <c r="D626" s="179">
        <v>459</v>
      </c>
      <c r="E626" s="179">
        <v>459</v>
      </c>
      <c r="F626" s="179">
        <v>458</v>
      </c>
      <c r="G626" s="179">
        <v>458</v>
      </c>
      <c r="H626" s="85">
        <v>300</v>
      </c>
    </row>
    <row r="627" spans="1:8" x14ac:dyDescent="0.2">
      <c r="A627" t="s">
        <v>147</v>
      </c>
      <c r="B627" s="180">
        <v>45015</v>
      </c>
      <c r="C627" s="181">
        <v>0.3888888888888889</v>
      </c>
      <c r="D627" s="179">
        <v>458</v>
      </c>
      <c r="E627" s="179">
        <v>459</v>
      </c>
      <c r="F627" s="179">
        <v>456</v>
      </c>
      <c r="G627" s="179">
        <v>456</v>
      </c>
      <c r="H627" s="85">
        <v>37300</v>
      </c>
    </row>
    <row r="628" spans="1:8" x14ac:dyDescent="0.2">
      <c r="A628" t="s">
        <v>147</v>
      </c>
      <c r="B628" s="180">
        <v>45015</v>
      </c>
      <c r="C628" s="181">
        <v>0.38958333333333334</v>
      </c>
      <c r="D628" s="179">
        <v>456</v>
      </c>
      <c r="E628" s="179">
        <v>457</v>
      </c>
      <c r="F628" s="179">
        <v>455</v>
      </c>
      <c r="G628" s="179">
        <v>456</v>
      </c>
      <c r="H628" s="85">
        <v>14800</v>
      </c>
    </row>
    <row r="629" spans="1:8" x14ac:dyDescent="0.2">
      <c r="A629" t="s">
        <v>147</v>
      </c>
      <c r="B629" s="180">
        <v>45015</v>
      </c>
      <c r="C629" s="181">
        <v>0.39027777777777778</v>
      </c>
      <c r="D629" s="179">
        <v>456</v>
      </c>
      <c r="E629" s="179">
        <v>458</v>
      </c>
      <c r="F629" s="179">
        <v>456</v>
      </c>
      <c r="G629" s="179">
        <v>458</v>
      </c>
      <c r="H629" s="85">
        <v>12200</v>
      </c>
    </row>
    <row r="630" spans="1:8" x14ac:dyDescent="0.2">
      <c r="A630" t="s">
        <v>147</v>
      </c>
      <c r="B630" s="180">
        <v>45015</v>
      </c>
      <c r="C630" s="181">
        <v>0.39097222222222222</v>
      </c>
      <c r="D630" s="179">
        <v>458</v>
      </c>
      <c r="E630" s="179">
        <v>458</v>
      </c>
      <c r="F630" s="179">
        <v>454</v>
      </c>
      <c r="G630" s="179">
        <v>457</v>
      </c>
      <c r="H630" s="85">
        <v>39600</v>
      </c>
    </row>
    <row r="631" spans="1:8" x14ac:dyDescent="0.2">
      <c r="A631" t="s">
        <v>147</v>
      </c>
      <c r="B631" s="180">
        <v>45015</v>
      </c>
      <c r="C631" s="181">
        <v>0.39166666666666666</v>
      </c>
      <c r="D631" s="179">
        <v>457</v>
      </c>
      <c r="E631" s="179">
        <v>458</v>
      </c>
      <c r="F631" s="179">
        <v>457</v>
      </c>
      <c r="G631" s="179">
        <v>458</v>
      </c>
      <c r="H631" s="85">
        <v>10400</v>
      </c>
    </row>
    <row r="632" spans="1:8" x14ac:dyDescent="0.2">
      <c r="A632" t="s">
        <v>147</v>
      </c>
      <c r="B632" s="180">
        <v>45015</v>
      </c>
      <c r="C632" s="181">
        <v>0.3923611111111111</v>
      </c>
      <c r="D632" s="179">
        <v>457</v>
      </c>
      <c r="E632" s="179">
        <v>457</v>
      </c>
      <c r="F632" s="179">
        <v>457</v>
      </c>
      <c r="G632" s="179">
        <v>457</v>
      </c>
      <c r="H632" s="85">
        <v>6500</v>
      </c>
    </row>
    <row r="633" spans="1:8" x14ac:dyDescent="0.2">
      <c r="A633" t="s">
        <v>147</v>
      </c>
      <c r="B633" s="180">
        <v>45015</v>
      </c>
      <c r="C633" s="181">
        <v>0.39305555555555555</v>
      </c>
      <c r="D633" s="179">
        <v>457</v>
      </c>
      <c r="E633" s="179">
        <v>457</v>
      </c>
      <c r="F633" s="179">
        <v>457</v>
      </c>
      <c r="G633" s="179">
        <v>457</v>
      </c>
      <c r="H633" s="85">
        <v>1000</v>
      </c>
    </row>
    <row r="634" spans="1:8" x14ac:dyDescent="0.2">
      <c r="A634" t="s">
        <v>147</v>
      </c>
      <c r="B634" s="180">
        <v>45015</v>
      </c>
      <c r="C634" s="181">
        <v>0.39374999999999999</v>
      </c>
      <c r="D634" s="179">
        <v>457</v>
      </c>
      <c r="E634" s="179">
        <v>457</v>
      </c>
      <c r="F634" s="179">
        <v>455</v>
      </c>
      <c r="G634" s="179">
        <v>456</v>
      </c>
      <c r="H634" s="85">
        <v>15600</v>
      </c>
    </row>
    <row r="635" spans="1:8" x14ac:dyDescent="0.2">
      <c r="A635" t="s">
        <v>147</v>
      </c>
      <c r="B635" s="180">
        <v>45015</v>
      </c>
      <c r="C635" s="181">
        <v>0.39444444444444443</v>
      </c>
      <c r="D635" s="179">
        <v>457</v>
      </c>
      <c r="E635" s="179">
        <v>457</v>
      </c>
      <c r="F635" s="179">
        <v>457</v>
      </c>
      <c r="G635" s="179">
        <v>457</v>
      </c>
      <c r="H635" s="85">
        <v>2000</v>
      </c>
    </row>
    <row r="636" spans="1:8" x14ac:dyDescent="0.2">
      <c r="A636" t="s">
        <v>147</v>
      </c>
      <c r="B636" s="180">
        <v>45015</v>
      </c>
      <c r="C636" s="181">
        <v>0.39513888888888887</v>
      </c>
      <c r="D636" s="179">
        <v>456</v>
      </c>
      <c r="E636" s="179">
        <v>456</v>
      </c>
      <c r="F636" s="179">
        <v>455</v>
      </c>
      <c r="G636" s="179">
        <v>455</v>
      </c>
      <c r="H636" s="85">
        <v>4900</v>
      </c>
    </row>
    <row r="637" spans="1:8" x14ac:dyDescent="0.2">
      <c r="A637" t="s">
        <v>147</v>
      </c>
      <c r="B637" s="180">
        <v>45015</v>
      </c>
      <c r="C637" s="181">
        <v>0.39583333333333331</v>
      </c>
      <c r="D637" s="179">
        <v>455</v>
      </c>
      <c r="E637" s="179">
        <v>456</v>
      </c>
      <c r="F637" s="179">
        <v>454</v>
      </c>
      <c r="G637" s="179">
        <v>455</v>
      </c>
      <c r="H637" s="85">
        <v>29500</v>
      </c>
    </row>
    <row r="638" spans="1:8" x14ac:dyDescent="0.2">
      <c r="A638" t="s">
        <v>147</v>
      </c>
      <c r="B638" s="180">
        <v>45015</v>
      </c>
      <c r="C638" s="181">
        <v>0.39652777777777781</v>
      </c>
      <c r="D638" s="179">
        <v>454</v>
      </c>
      <c r="E638" s="179">
        <v>454</v>
      </c>
      <c r="F638" s="179">
        <v>454</v>
      </c>
      <c r="G638" s="179">
        <v>454</v>
      </c>
      <c r="H638" s="85">
        <v>900</v>
      </c>
    </row>
    <row r="639" spans="1:8" x14ac:dyDescent="0.2">
      <c r="A639" t="s">
        <v>147</v>
      </c>
      <c r="B639" s="180">
        <v>45015</v>
      </c>
      <c r="C639" s="181">
        <v>0.3972222222222222</v>
      </c>
      <c r="D639" s="179">
        <v>454</v>
      </c>
      <c r="E639" s="179">
        <v>454</v>
      </c>
      <c r="F639" s="179">
        <v>453</v>
      </c>
      <c r="G639" s="179">
        <v>454</v>
      </c>
      <c r="H639" s="85">
        <v>23100</v>
      </c>
    </row>
    <row r="640" spans="1:8" x14ac:dyDescent="0.2">
      <c r="A640" t="s">
        <v>147</v>
      </c>
      <c r="B640" s="180">
        <v>45015</v>
      </c>
      <c r="C640" s="181">
        <v>0.3979166666666667</v>
      </c>
      <c r="D640" s="179">
        <v>453</v>
      </c>
      <c r="E640" s="179">
        <v>453</v>
      </c>
      <c r="F640" s="179">
        <v>452</v>
      </c>
      <c r="G640" s="179">
        <v>453</v>
      </c>
      <c r="H640" s="85">
        <v>20100</v>
      </c>
    </row>
    <row r="641" spans="1:8" x14ac:dyDescent="0.2">
      <c r="A641" t="s">
        <v>147</v>
      </c>
      <c r="B641" s="180">
        <v>45015</v>
      </c>
      <c r="C641" s="181">
        <v>0.39861111111111108</v>
      </c>
      <c r="D641" s="179">
        <v>453</v>
      </c>
      <c r="E641" s="179">
        <v>453</v>
      </c>
      <c r="F641" s="179">
        <v>452</v>
      </c>
      <c r="G641" s="179">
        <v>453</v>
      </c>
      <c r="H641" s="85">
        <v>11400</v>
      </c>
    </row>
    <row r="642" spans="1:8" x14ac:dyDescent="0.2">
      <c r="A642" t="s">
        <v>147</v>
      </c>
      <c r="B642" s="180">
        <v>45015</v>
      </c>
      <c r="C642" s="181">
        <v>0.39930555555555558</v>
      </c>
      <c r="D642" s="179">
        <v>453</v>
      </c>
      <c r="E642" s="179">
        <v>453</v>
      </c>
      <c r="F642" s="179">
        <v>452</v>
      </c>
      <c r="G642" s="179">
        <v>453</v>
      </c>
      <c r="H642" s="85">
        <v>5200</v>
      </c>
    </row>
    <row r="643" spans="1:8" x14ac:dyDescent="0.2">
      <c r="A643" t="s">
        <v>147</v>
      </c>
      <c r="B643" s="180">
        <v>45015</v>
      </c>
      <c r="C643" s="181">
        <v>0.39999999999999997</v>
      </c>
      <c r="D643" s="179">
        <v>453</v>
      </c>
      <c r="E643" s="179">
        <v>453</v>
      </c>
      <c r="F643" s="179">
        <v>453</v>
      </c>
      <c r="G643" s="179">
        <v>453</v>
      </c>
      <c r="H643" s="85">
        <v>1500</v>
      </c>
    </row>
    <row r="644" spans="1:8" x14ac:dyDescent="0.2">
      <c r="A644" t="s">
        <v>147</v>
      </c>
      <c r="B644" s="180">
        <v>45015</v>
      </c>
      <c r="C644" s="181">
        <v>0.40069444444444446</v>
      </c>
      <c r="D644" s="179">
        <v>453</v>
      </c>
      <c r="E644" s="179">
        <v>453</v>
      </c>
      <c r="F644" s="179">
        <v>451</v>
      </c>
      <c r="G644" s="179">
        <v>452</v>
      </c>
      <c r="H644" s="85">
        <v>40200</v>
      </c>
    </row>
    <row r="645" spans="1:8" x14ac:dyDescent="0.2">
      <c r="A645" t="s">
        <v>147</v>
      </c>
      <c r="B645" s="180">
        <v>45015</v>
      </c>
      <c r="C645" s="181">
        <v>0.40138888888888885</v>
      </c>
      <c r="D645" s="179">
        <v>452</v>
      </c>
      <c r="E645" s="179">
        <v>452</v>
      </c>
      <c r="F645" s="179">
        <v>452</v>
      </c>
      <c r="G645" s="179">
        <v>452</v>
      </c>
      <c r="H645" s="85">
        <v>9900</v>
      </c>
    </row>
    <row r="646" spans="1:8" x14ac:dyDescent="0.2">
      <c r="A646" t="s">
        <v>147</v>
      </c>
      <c r="B646" s="180">
        <v>45015</v>
      </c>
      <c r="C646" s="181">
        <v>0.40208333333333335</v>
      </c>
      <c r="D646" s="179">
        <v>452</v>
      </c>
      <c r="E646" s="179">
        <v>452</v>
      </c>
      <c r="F646" s="179">
        <v>451</v>
      </c>
      <c r="G646" s="179">
        <v>451</v>
      </c>
      <c r="H646" s="85">
        <v>900</v>
      </c>
    </row>
    <row r="647" spans="1:8" x14ac:dyDescent="0.2">
      <c r="A647" t="s">
        <v>147</v>
      </c>
      <c r="B647" s="180">
        <v>45015</v>
      </c>
      <c r="C647" s="181">
        <v>0.40277777777777773</v>
      </c>
      <c r="D647" s="179">
        <v>451</v>
      </c>
      <c r="E647" s="179">
        <v>452</v>
      </c>
      <c r="F647" s="179">
        <v>451</v>
      </c>
      <c r="G647" s="179">
        <v>452</v>
      </c>
      <c r="H647" s="85">
        <v>13000</v>
      </c>
    </row>
    <row r="648" spans="1:8" x14ac:dyDescent="0.2">
      <c r="A648" t="s">
        <v>147</v>
      </c>
      <c r="B648" s="180">
        <v>45015</v>
      </c>
      <c r="C648" s="181">
        <v>0.40347222222222223</v>
      </c>
      <c r="D648" s="179">
        <v>452</v>
      </c>
      <c r="E648" s="179">
        <v>452</v>
      </c>
      <c r="F648" s="179">
        <v>451</v>
      </c>
      <c r="G648" s="179">
        <v>451</v>
      </c>
      <c r="H648" s="85">
        <v>2200</v>
      </c>
    </row>
    <row r="649" spans="1:8" x14ac:dyDescent="0.2">
      <c r="A649" t="s">
        <v>147</v>
      </c>
      <c r="B649" s="180">
        <v>45015</v>
      </c>
      <c r="C649" s="181">
        <v>0.40416666666666662</v>
      </c>
      <c r="D649" s="179">
        <v>451</v>
      </c>
      <c r="E649" s="179">
        <v>452</v>
      </c>
      <c r="F649" s="179">
        <v>451</v>
      </c>
      <c r="G649" s="179">
        <v>452</v>
      </c>
      <c r="H649" s="85">
        <v>1500</v>
      </c>
    </row>
    <row r="650" spans="1:8" x14ac:dyDescent="0.2">
      <c r="A650" t="s">
        <v>147</v>
      </c>
      <c r="B650" s="180">
        <v>45015</v>
      </c>
      <c r="C650" s="181">
        <v>0.40486111111111112</v>
      </c>
      <c r="D650" s="179">
        <v>452</v>
      </c>
      <c r="E650" s="179">
        <v>452</v>
      </c>
      <c r="F650" s="179">
        <v>451</v>
      </c>
      <c r="G650" s="179">
        <v>451</v>
      </c>
      <c r="H650" s="85">
        <v>300</v>
      </c>
    </row>
    <row r="651" spans="1:8" x14ac:dyDescent="0.2">
      <c r="A651" t="s">
        <v>147</v>
      </c>
      <c r="B651" s="180">
        <v>45015</v>
      </c>
      <c r="C651" s="181">
        <v>0.4055555555555555</v>
      </c>
      <c r="D651" s="179">
        <v>452</v>
      </c>
      <c r="E651" s="179">
        <v>452</v>
      </c>
      <c r="F651" s="179">
        <v>452</v>
      </c>
      <c r="G651" s="179">
        <v>452</v>
      </c>
      <c r="H651" s="85">
        <v>700</v>
      </c>
    </row>
    <row r="652" spans="1:8" x14ac:dyDescent="0.2">
      <c r="A652" t="s">
        <v>147</v>
      </c>
      <c r="B652" s="180">
        <v>45015</v>
      </c>
      <c r="C652" s="181">
        <v>0.40625</v>
      </c>
      <c r="D652" s="179">
        <v>452</v>
      </c>
      <c r="E652" s="179">
        <v>452</v>
      </c>
      <c r="F652" s="179">
        <v>450</v>
      </c>
      <c r="G652" s="179">
        <v>451</v>
      </c>
      <c r="H652" s="85">
        <v>61100</v>
      </c>
    </row>
    <row r="653" spans="1:8" x14ac:dyDescent="0.2">
      <c r="A653" t="s">
        <v>147</v>
      </c>
      <c r="B653" s="180">
        <v>45015</v>
      </c>
      <c r="C653" s="181">
        <v>0.4069444444444445</v>
      </c>
      <c r="D653" s="179">
        <v>451</v>
      </c>
      <c r="E653" s="179">
        <v>451</v>
      </c>
      <c r="F653" s="179">
        <v>451</v>
      </c>
      <c r="G653" s="179">
        <v>451</v>
      </c>
      <c r="H653" s="85">
        <v>200</v>
      </c>
    </row>
    <row r="654" spans="1:8" x14ac:dyDescent="0.2">
      <c r="A654" t="s">
        <v>147</v>
      </c>
      <c r="B654" s="180">
        <v>45015</v>
      </c>
      <c r="C654" s="181">
        <v>0.40763888888888888</v>
      </c>
      <c r="D654" s="179">
        <v>451</v>
      </c>
      <c r="E654" s="179">
        <v>452</v>
      </c>
      <c r="F654" s="179">
        <v>451</v>
      </c>
      <c r="G654" s="179">
        <v>451</v>
      </c>
      <c r="H654" s="85">
        <v>9500</v>
      </c>
    </row>
    <row r="655" spans="1:8" x14ac:dyDescent="0.2">
      <c r="A655" t="s">
        <v>147</v>
      </c>
      <c r="B655" s="180">
        <v>45015</v>
      </c>
      <c r="C655" s="181">
        <v>0.40833333333333338</v>
      </c>
      <c r="D655" s="179">
        <v>452</v>
      </c>
      <c r="E655" s="179">
        <v>452</v>
      </c>
      <c r="F655" s="179">
        <v>451</v>
      </c>
      <c r="G655" s="179">
        <v>452</v>
      </c>
      <c r="H655" s="85">
        <v>29100</v>
      </c>
    </row>
    <row r="656" spans="1:8" x14ac:dyDescent="0.2">
      <c r="A656" t="s">
        <v>147</v>
      </c>
      <c r="B656" s="180">
        <v>45015</v>
      </c>
      <c r="C656" s="181">
        <v>0.40902777777777777</v>
      </c>
      <c r="D656" s="179">
        <v>451</v>
      </c>
      <c r="E656" s="179">
        <v>452</v>
      </c>
      <c r="F656" s="179">
        <v>450</v>
      </c>
      <c r="G656" s="179">
        <v>452</v>
      </c>
      <c r="H656" s="85">
        <v>5100</v>
      </c>
    </row>
    <row r="657" spans="1:8" x14ac:dyDescent="0.2">
      <c r="A657" t="s">
        <v>147</v>
      </c>
      <c r="B657" s="180">
        <v>45015</v>
      </c>
      <c r="C657" s="181">
        <v>0.40972222222222227</v>
      </c>
      <c r="D657" s="179">
        <v>451</v>
      </c>
      <c r="E657" s="179">
        <v>451</v>
      </c>
      <c r="F657" s="179">
        <v>451</v>
      </c>
      <c r="G657" s="179">
        <v>451</v>
      </c>
      <c r="H657" s="85">
        <v>1600</v>
      </c>
    </row>
    <row r="658" spans="1:8" x14ac:dyDescent="0.2">
      <c r="A658" t="s">
        <v>147</v>
      </c>
      <c r="B658" s="180">
        <v>45015</v>
      </c>
      <c r="C658" s="181">
        <v>0.41041666666666665</v>
      </c>
      <c r="D658" s="179">
        <v>450</v>
      </c>
      <c r="E658" s="179">
        <v>450</v>
      </c>
      <c r="F658" s="179">
        <v>449</v>
      </c>
      <c r="G658" s="179">
        <v>449</v>
      </c>
      <c r="H658" s="85">
        <v>64300</v>
      </c>
    </row>
    <row r="659" spans="1:8" x14ac:dyDescent="0.2">
      <c r="A659" t="s">
        <v>147</v>
      </c>
      <c r="B659" s="180">
        <v>45015</v>
      </c>
      <c r="C659" s="181">
        <v>0.41111111111111115</v>
      </c>
      <c r="D659" s="179">
        <v>450</v>
      </c>
      <c r="E659" s="179">
        <v>450</v>
      </c>
      <c r="F659" s="179">
        <v>449</v>
      </c>
      <c r="G659" s="179">
        <v>449</v>
      </c>
      <c r="H659" s="85">
        <v>7400</v>
      </c>
    </row>
    <row r="660" spans="1:8" x14ac:dyDescent="0.2">
      <c r="A660" t="s">
        <v>147</v>
      </c>
      <c r="B660" s="180">
        <v>45015</v>
      </c>
      <c r="C660" s="181">
        <v>0.41180555555555554</v>
      </c>
      <c r="D660" s="179">
        <v>450</v>
      </c>
      <c r="E660" s="179">
        <v>452</v>
      </c>
      <c r="F660" s="179">
        <v>450</v>
      </c>
      <c r="G660" s="179">
        <v>452</v>
      </c>
      <c r="H660" s="85">
        <v>18700</v>
      </c>
    </row>
    <row r="661" spans="1:8" x14ac:dyDescent="0.2">
      <c r="A661" t="s">
        <v>147</v>
      </c>
      <c r="B661" s="180">
        <v>45015</v>
      </c>
      <c r="C661" s="181">
        <v>0.41250000000000003</v>
      </c>
      <c r="D661" s="179">
        <v>451</v>
      </c>
      <c r="E661" s="179">
        <v>451</v>
      </c>
      <c r="F661" s="179">
        <v>451</v>
      </c>
      <c r="G661" s="179">
        <v>451</v>
      </c>
      <c r="H661" s="85">
        <v>600</v>
      </c>
    </row>
    <row r="662" spans="1:8" x14ac:dyDescent="0.2">
      <c r="A662" t="s">
        <v>147</v>
      </c>
      <c r="B662" s="180">
        <v>45015</v>
      </c>
      <c r="C662" s="181">
        <v>0.41319444444444442</v>
      </c>
      <c r="D662" s="179">
        <v>451</v>
      </c>
      <c r="E662" s="179">
        <v>451</v>
      </c>
      <c r="F662" s="179">
        <v>451</v>
      </c>
      <c r="G662" s="179">
        <v>451</v>
      </c>
      <c r="H662" s="85">
        <v>2600</v>
      </c>
    </row>
    <row r="663" spans="1:8" x14ac:dyDescent="0.2">
      <c r="A663" t="s">
        <v>147</v>
      </c>
      <c r="B663" s="180">
        <v>45015</v>
      </c>
      <c r="C663" s="181">
        <v>0.41388888888888892</v>
      </c>
      <c r="D663" s="179">
        <v>451</v>
      </c>
      <c r="E663" s="179">
        <v>451</v>
      </c>
      <c r="F663" s="179">
        <v>450</v>
      </c>
      <c r="G663" s="179">
        <v>450</v>
      </c>
      <c r="H663" s="85">
        <v>16400</v>
      </c>
    </row>
    <row r="664" spans="1:8" x14ac:dyDescent="0.2">
      <c r="A664" t="s">
        <v>147</v>
      </c>
      <c r="B664" s="180">
        <v>45015</v>
      </c>
      <c r="C664" s="181">
        <v>0.4145833333333333</v>
      </c>
      <c r="D664" s="179">
        <v>450</v>
      </c>
      <c r="E664" s="179">
        <v>450</v>
      </c>
      <c r="F664" s="179">
        <v>450</v>
      </c>
      <c r="G664" s="179">
        <v>450</v>
      </c>
      <c r="H664" s="85">
        <v>400</v>
      </c>
    </row>
    <row r="665" spans="1:8" x14ac:dyDescent="0.2">
      <c r="A665" t="s">
        <v>147</v>
      </c>
      <c r="B665" s="180">
        <v>45015</v>
      </c>
      <c r="C665" s="181">
        <v>0.4152777777777778</v>
      </c>
      <c r="D665" s="179">
        <v>451</v>
      </c>
      <c r="E665" s="179">
        <v>451</v>
      </c>
      <c r="F665" s="179">
        <v>449</v>
      </c>
      <c r="G665" s="179">
        <v>449</v>
      </c>
      <c r="H665" s="85">
        <v>17200</v>
      </c>
    </row>
    <row r="666" spans="1:8" x14ac:dyDescent="0.2">
      <c r="A666" t="s">
        <v>147</v>
      </c>
      <c r="B666" s="180">
        <v>45015</v>
      </c>
      <c r="C666" s="181">
        <v>0.41597222222222219</v>
      </c>
      <c r="D666" s="179">
        <v>449</v>
      </c>
      <c r="E666" s="179">
        <v>449</v>
      </c>
      <c r="F666" s="179">
        <v>449</v>
      </c>
      <c r="G666" s="179">
        <v>449</v>
      </c>
      <c r="H666" s="85">
        <v>0</v>
      </c>
    </row>
    <row r="667" spans="1:8" x14ac:dyDescent="0.2">
      <c r="A667" t="s">
        <v>147</v>
      </c>
      <c r="B667" s="180">
        <v>45015</v>
      </c>
      <c r="C667" s="181">
        <v>0.41666666666666669</v>
      </c>
      <c r="D667" s="179">
        <v>450</v>
      </c>
      <c r="E667" s="179">
        <v>450</v>
      </c>
      <c r="F667" s="179">
        <v>449</v>
      </c>
      <c r="G667" s="179">
        <v>450</v>
      </c>
      <c r="H667" s="85">
        <v>18200</v>
      </c>
    </row>
    <row r="668" spans="1:8" x14ac:dyDescent="0.2">
      <c r="A668" t="s">
        <v>147</v>
      </c>
      <c r="B668" s="180">
        <v>45015</v>
      </c>
      <c r="C668" s="181">
        <v>0.41736111111111113</v>
      </c>
      <c r="D668" s="179">
        <v>449</v>
      </c>
      <c r="E668" s="179">
        <v>450</v>
      </c>
      <c r="F668" s="179">
        <v>449</v>
      </c>
      <c r="G668" s="179">
        <v>450</v>
      </c>
      <c r="H668" s="85">
        <v>200</v>
      </c>
    </row>
    <row r="669" spans="1:8" x14ac:dyDescent="0.2">
      <c r="A669" t="s">
        <v>147</v>
      </c>
      <c r="B669" s="180">
        <v>45015</v>
      </c>
      <c r="C669" s="181">
        <v>0.41805555555555557</v>
      </c>
      <c r="D669" s="179">
        <v>450</v>
      </c>
      <c r="E669" s="179">
        <v>450</v>
      </c>
      <c r="F669" s="179">
        <v>450</v>
      </c>
      <c r="G669" s="179">
        <v>450</v>
      </c>
      <c r="H669" s="85">
        <v>5800</v>
      </c>
    </row>
    <row r="670" spans="1:8" x14ac:dyDescent="0.2">
      <c r="A670" t="s">
        <v>147</v>
      </c>
      <c r="B670" s="180">
        <v>45015</v>
      </c>
      <c r="C670" s="181">
        <v>0.41875000000000001</v>
      </c>
      <c r="D670" s="179">
        <v>450</v>
      </c>
      <c r="E670" s="179">
        <v>450</v>
      </c>
      <c r="F670" s="179">
        <v>448</v>
      </c>
      <c r="G670" s="179">
        <v>449</v>
      </c>
      <c r="H670" s="85">
        <v>29600</v>
      </c>
    </row>
    <row r="671" spans="1:8" x14ac:dyDescent="0.2">
      <c r="A671" t="s">
        <v>147</v>
      </c>
      <c r="B671" s="180">
        <v>45015</v>
      </c>
      <c r="C671" s="181">
        <v>0.41944444444444445</v>
      </c>
      <c r="D671" s="179">
        <v>449</v>
      </c>
      <c r="E671" s="179">
        <v>449</v>
      </c>
      <c r="F671" s="179">
        <v>449</v>
      </c>
      <c r="G671" s="179">
        <v>449</v>
      </c>
      <c r="H671" s="85">
        <v>2200</v>
      </c>
    </row>
    <row r="672" spans="1:8" x14ac:dyDescent="0.2">
      <c r="A672" t="s">
        <v>147</v>
      </c>
      <c r="B672" s="180">
        <v>45015</v>
      </c>
      <c r="C672" s="181">
        <v>0.4201388888888889</v>
      </c>
      <c r="D672" s="179">
        <v>449</v>
      </c>
      <c r="E672" s="179">
        <v>449</v>
      </c>
      <c r="F672" s="179">
        <v>449</v>
      </c>
      <c r="G672" s="179">
        <v>449</v>
      </c>
      <c r="H672" s="85">
        <v>0</v>
      </c>
    </row>
    <row r="673" spans="1:8" x14ac:dyDescent="0.2">
      <c r="A673" t="s">
        <v>147</v>
      </c>
      <c r="B673" s="180">
        <v>45015</v>
      </c>
      <c r="C673" s="181">
        <v>0.42083333333333334</v>
      </c>
      <c r="D673" s="179">
        <v>449</v>
      </c>
      <c r="E673" s="179">
        <v>450</v>
      </c>
      <c r="F673" s="179">
        <v>449</v>
      </c>
      <c r="G673" s="179">
        <v>449</v>
      </c>
      <c r="H673" s="85">
        <v>4800</v>
      </c>
    </row>
    <row r="674" spans="1:8" x14ac:dyDescent="0.2">
      <c r="A674" t="s">
        <v>147</v>
      </c>
      <c r="B674" s="180">
        <v>45015</v>
      </c>
      <c r="C674" s="181">
        <v>0.42152777777777778</v>
      </c>
      <c r="D674" s="179">
        <v>449</v>
      </c>
      <c r="E674" s="179">
        <v>449</v>
      </c>
      <c r="F674" s="179">
        <v>449</v>
      </c>
      <c r="G674" s="179">
        <v>449</v>
      </c>
      <c r="H674" s="85">
        <v>500</v>
      </c>
    </row>
    <row r="675" spans="1:8" x14ac:dyDescent="0.2">
      <c r="A675" t="s">
        <v>147</v>
      </c>
      <c r="B675" s="180">
        <v>45015</v>
      </c>
      <c r="C675" s="181">
        <v>0.42222222222222222</v>
      </c>
      <c r="D675" s="179">
        <v>449</v>
      </c>
      <c r="E675" s="179">
        <v>450</v>
      </c>
      <c r="F675" s="179">
        <v>449</v>
      </c>
      <c r="G675" s="179">
        <v>450</v>
      </c>
      <c r="H675" s="85">
        <v>20300</v>
      </c>
    </row>
    <row r="676" spans="1:8" x14ac:dyDescent="0.2">
      <c r="A676" t="s">
        <v>147</v>
      </c>
      <c r="B676" s="180">
        <v>45015</v>
      </c>
      <c r="C676" s="181">
        <v>0.42291666666666666</v>
      </c>
      <c r="D676" s="179">
        <v>450</v>
      </c>
      <c r="E676" s="179">
        <v>450</v>
      </c>
      <c r="F676" s="179">
        <v>450</v>
      </c>
      <c r="G676" s="179">
        <v>450</v>
      </c>
      <c r="H676" s="85">
        <v>2700</v>
      </c>
    </row>
    <row r="677" spans="1:8" x14ac:dyDescent="0.2">
      <c r="A677" t="s">
        <v>147</v>
      </c>
      <c r="B677" s="180">
        <v>45015</v>
      </c>
      <c r="C677" s="181">
        <v>0.4236111111111111</v>
      </c>
      <c r="D677" s="179">
        <v>450</v>
      </c>
      <c r="E677" s="179">
        <v>450</v>
      </c>
      <c r="F677" s="179">
        <v>450</v>
      </c>
      <c r="G677" s="179">
        <v>450</v>
      </c>
      <c r="H677" s="85">
        <v>2800</v>
      </c>
    </row>
    <row r="678" spans="1:8" x14ac:dyDescent="0.2">
      <c r="A678" t="s">
        <v>147</v>
      </c>
      <c r="B678" s="180">
        <v>45015</v>
      </c>
      <c r="C678" s="181">
        <v>0.42430555555555555</v>
      </c>
      <c r="D678" s="179">
        <v>449</v>
      </c>
      <c r="E678" s="179">
        <v>449</v>
      </c>
      <c r="F678" s="179">
        <v>449</v>
      </c>
      <c r="G678" s="179">
        <v>449</v>
      </c>
      <c r="H678" s="85">
        <v>1000</v>
      </c>
    </row>
    <row r="679" spans="1:8" x14ac:dyDescent="0.2">
      <c r="A679" t="s">
        <v>147</v>
      </c>
      <c r="B679" s="180">
        <v>45015</v>
      </c>
      <c r="C679" s="181">
        <v>0.42499999999999999</v>
      </c>
      <c r="D679" s="179">
        <v>449</v>
      </c>
      <c r="E679" s="179">
        <v>449</v>
      </c>
      <c r="F679" s="179">
        <v>449</v>
      </c>
      <c r="G679" s="179">
        <v>449</v>
      </c>
      <c r="H679" s="85">
        <v>0</v>
      </c>
    </row>
    <row r="680" spans="1:8" x14ac:dyDescent="0.2">
      <c r="A680" t="s">
        <v>147</v>
      </c>
      <c r="B680" s="180">
        <v>45015</v>
      </c>
      <c r="C680" s="181">
        <v>0.42569444444444443</v>
      </c>
      <c r="D680" s="179">
        <v>449</v>
      </c>
      <c r="E680" s="179">
        <v>451</v>
      </c>
      <c r="F680" s="179">
        <v>449</v>
      </c>
      <c r="G680" s="179">
        <v>450</v>
      </c>
      <c r="H680" s="85">
        <v>23600</v>
      </c>
    </row>
    <row r="681" spans="1:8" x14ac:dyDescent="0.2">
      <c r="A681" t="s">
        <v>147</v>
      </c>
      <c r="B681" s="180">
        <v>45015</v>
      </c>
      <c r="C681" s="181">
        <v>0.42638888888888887</v>
      </c>
      <c r="D681" s="179">
        <v>450</v>
      </c>
      <c r="E681" s="179">
        <v>450</v>
      </c>
      <c r="F681" s="179">
        <v>450</v>
      </c>
      <c r="G681" s="179">
        <v>450</v>
      </c>
      <c r="H681" s="85">
        <v>300</v>
      </c>
    </row>
    <row r="682" spans="1:8" x14ac:dyDescent="0.2">
      <c r="A682" t="s">
        <v>147</v>
      </c>
      <c r="B682" s="180">
        <v>45015</v>
      </c>
      <c r="C682" s="181">
        <v>0.42708333333333331</v>
      </c>
      <c r="D682" s="179">
        <v>451</v>
      </c>
      <c r="E682" s="179">
        <v>451</v>
      </c>
      <c r="F682" s="179">
        <v>450</v>
      </c>
      <c r="G682" s="179">
        <v>450</v>
      </c>
      <c r="H682" s="85">
        <v>24600</v>
      </c>
    </row>
    <row r="683" spans="1:8" x14ac:dyDescent="0.2">
      <c r="A683" t="s">
        <v>147</v>
      </c>
      <c r="B683" s="180">
        <v>45015</v>
      </c>
      <c r="C683" s="181">
        <v>0.42777777777777781</v>
      </c>
      <c r="D683" s="179">
        <v>451</v>
      </c>
      <c r="E683" s="179">
        <v>451</v>
      </c>
      <c r="F683" s="179">
        <v>451</v>
      </c>
      <c r="G683" s="179">
        <v>451</v>
      </c>
      <c r="H683" s="85">
        <v>6500</v>
      </c>
    </row>
    <row r="684" spans="1:8" x14ac:dyDescent="0.2">
      <c r="A684" t="s">
        <v>147</v>
      </c>
      <c r="B684" s="180">
        <v>45015</v>
      </c>
      <c r="C684" s="181">
        <v>0.4284722222222222</v>
      </c>
      <c r="D684" s="179">
        <v>452</v>
      </c>
      <c r="E684" s="179">
        <v>452</v>
      </c>
      <c r="F684" s="179">
        <v>451</v>
      </c>
      <c r="G684" s="179">
        <v>451</v>
      </c>
      <c r="H684" s="85">
        <v>5000</v>
      </c>
    </row>
    <row r="685" spans="1:8" x14ac:dyDescent="0.2">
      <c r="A685" t="s">
        <v>147</v>
      </c>
      <c r="B685" s="180">
        <v>45015</v>
      </c>
      <c r="C685" s="181">
        <v>0.4291666666666667</v>
      </c>
      <c r="D685" s="179">
        <v>451</v>
      </c>
      <c r="E685" s="179">
        <v>451</v>
      </c>
      <c r="F685" s="179">
        <v>451</v>
      </c>
      <c r="G685" s="179">
        <v>451</v>
      </c>
      <c r="H685" s="85">
        <v>100</v>
      </c>
    </row>
    <row r="686" spans="1:8" x14ac:dyDescent="0.2">
      <c r="A686" t="s">
        <v>147</v>
      </c>
      <c r="B686" s="180">
        <v>45015</v>
      </c>
      <c r="C686" s="181">
        <v>0.42986111111111108</v>
      </c>
      <c r="D686" s="179">
        <v>450</v>
      </c>
      <c r="E686" s="179">
        <v>450</v>
      </c>
      <c r="F686" s="179">
        <v>450</v>
      </c>
      <c r="G686" s="179">
        <v>450</v>
      </c>
      <c r="H686" s="85">
        <v>17300</v>
      </c>
    </row>
    <row r="687" spans="1:8" x14ac:dyDescent="0.2">
      <c r="A687" t="s">
        <v>147</v>
      </c>
      <c r="B687" s="180">
        <v>45015</v>
      </c>
      <c r="C687" s="181">
        <v>0.43055555555555558</v>
      </c>
      <c r="D687" s="179">
        <v>450</v>
      </c>
      <c r="E687" s="179">
        <v>450</v>
      </c>
      <c r="F687" s="179">
        <v>450</v>
      </c>
      <c r="G687" s="179">
        <v>450</v>
      </c>
      <c r="H687" s="85">
        <v>200</v>
      </c>
    </row>
    <row r="688" spans="1:8" x14ac:dyDescent="0.2">
      <c r="A688" t="s">
        <v>147</v>
      </c>
      <c r="B688" s="180">
        <v>45015</v>
      </c>
      <c r="C688" s="181">
        <v>0.43124999999999997</v>
      </c>
      <c r="D688" s="179">
        <v>449</v>
      </c>
      <c r="E688" s="179">
        <v>450</v>
      </c>
      <c r="F688" s="179">
        <v>449</v>
      </c>
      <c r="G688" s="179">
        <v>450</v>
      </c>
      <c r="H688" s="85">
        <v>1800</v>
      </c>
    </row>
    <row r="689" spans="1:8" x14ac:dyDescent="0.2">
      <c r="A689" t="s">
        <v>147</v>
      </c>
      <c r="B689" s="180">
        <v>45015</v>
      </c>
      <c r="C689" s="181">
        <v>0.43194444444444446</v>
      </c>
      <c r="D689" s="179">
        <v>450</v>
      </c>
      <c r="E689" s="179">
        <v>450</v>
      </c>
      <c r="F689" s="179">
        <v>449</v>
      </c>
      <c r="G689" s="179">
        <v>449</v>
      </c>
      <c r="H689" s="85">
        <v>500</v>
      </c>
    </row>
    <row r="690" spans="1:8" x14ac:dyDescent="0.2">
      <c r="A690" t="s">
        <v>147</v>
      </c>
      <c r="B690" s="180">
        <v>45015</v>
      </c>
      <c r="C690" s="181">
        <v>0.43263888888888885</v>
      </c>
      <c r="D690" s="179">
        <v>449</v>
      </c>
      <c r="E690" s="179">
        <v>449</v>
      </c>
      <c r="F690" s="179">
        <v>449</v>
      </c>
      <c r="G690" s="179">
        <v>449</v>
      </c>
      <c r="H690" s="85">
        <v>2500</v>
      </c>
    </row>
    <row r="691" spans="1:8" x14ac:dyDescent="0.2">
      <c r="A691" t="s">
        <v>147</v>
      </c>
      <c r="B691" s="180">
        <v>45015</v>
      </c>
      <c r="C691" s="181">
        <v>0.43333333333333335</v>
      </c>
      <c r="D691" s="179">
        <v>450</v>
      </c>
      <c r="E691" s="179">
        <v>450</v>
      </c>
      <c r="F691" s="179">
        <v>449</v>
      </c>
      <c r="G691" s="179">
        <v>450</v>
      </c>
      <c r="H691" s="85">
        <v>6000</v>
      </c>
    </row>
    <row r="692" spans="1:8" x14ac:dyDescent="0.2">
      <c r="A692" t="s">
        <v>147</v>
      </c>
      <c r="B692" s="180">
        <v>45015</v>
      </c>
      <c r="C692" s="181">
        <v>0.43402777777777773</v>
      </c>
      <c r="D692" s="179">
        <v>450</v>
      </c>
      <c r="E692" s="179">
        <v>450</v>
      </c>
      <c r="F692" s="179">
        <v>450</v>
      </c>
      <c r="G692" s="179">
        <v>450</v>
      </c>
      <c r="H692" s="85">
        <v>500</v>
      </c>
    </row>
    <row r="693" spans="1:8" x14ac:dyDescent="0.2">
      <c r="A693" t="s">
        <v>147</v>
      </c>
      <c r="B693" s="180">
        <v>45015</v>
      </c>
      <c r="C693" s="181">
        <v>0.43472222222222223</v>
      </c>
      <c r="D693" s="179">
        <v>449</v>
      </c>
      <c r="E693" s="179">
        <v>450</v>
      </c>
      <c r="F693" s="179">
        <v>449</v>
      </c>
      <c r="G693" s="179">
        <v>450</v>
      </c>
      <c r="H693" s="85">
        <v>6000</v>
      </c>
    </row>
    <row r="694" spans="1:8" x14ac:dyDescent="0.2">
      <c r="A694" t="s">
        <v>147</v>
      </c>
      <c r="B694" s="180">
        <v>45015</v>
      </c>
      <c r="C694" s="181">
        <v>0.43541666666666662</v>
      </c>
      <c r="D694" s="179">
        <v>449</v>
      </c>
      <c r="E694" s="179">
        <v>450</v>
      </c>
      <c r="F694" s="179">
        <v>449</v>
      </c>
      <c r="G694" s="179">
        <v>450</v>
      </c>
      <c r="H694" s="85">
        <v>2300</v>
      </c>
    </row>
    <row r="695" spans="1:8" x14ac:dyDescent="0.2">
      <c r="A695" t="s">
        <v>147</v>
      </c>
      <c r="B695" s="180">
        <v>45015</v>
      </c>
      <c r="C695" s="181">
        <v>0.43611111111111112</v>
      </c>
      <c r="D695" s="179">
        <v>450</v>
      </c>
      <c r="E695" s="179">
        <v>450</v>
      </c>
      <c r="F695" s="179">
        <v>449</v>
      </c>
      <c r="G695" s="179">
        <v>449</v>
      </c>
      <c r="H695" s="85">
        <v>2300</v>
      </c>
    </row>
    <row r="696" spans="1:8" x14ac:dyDescent="0.2">
      <c r="A696" t="s">
        <v>147</v>
      </c>
      <c r="B696" s="180">
        <v>45015</v>
      </c>
      <c r="C696" s="181">
        <v>0.4368055555555555</v>
      </c>
      <c r="D696" s="179">
        <v>449</v>
      </c>
      <c r="E696" s="179">
        <v>450</v>
      </c>
      <c r="F696" s="179">
        <v>448</v>
      </c>
      <c r="G696" s="179">
        <v>449</v>
      </c>
      <c r="H696" s="85">
        <v>20400</v>
      </c>
    </row>
    <row r="697" spans="1:8" x14ac:dyDescent="0.2">
      <c r="A697" t="s">
        <v>147</v>
      </c>
      <c r="B697" s="180">
        <v>45015</v>
      </c>
      <c r="C697" s="181">
        <v>0.4375</v>
      </c>
      <c r="D697" s="179">
        <v>449</v>
      </c>
      <c r="E697" s="179">
        <v>449</v>
      </c>
      <c r="F697" s="179">
        <v>448</v>
      </c>
      <c r="G697" s="179">
        <v>449</v>
      </c>
      <c r="H697" s="85">
        <v>1900</v>
      </c>
    </row>
    <row r="698" spans="1:8" x14ac:dyDescent="0.2">
      <c r="A698" t="s">
        <v>147</v>
      </c>
      <c r="B698" s="180">
        <v>45015</v>
      </c>
      <c r="C698" s="181">
        <v>0.4381944444444445</v>
      </c>
      <c r="D698" s="179">
        <v>448</v>
      </c>
      <c r="E698" s="179">
        <v>449</v>
      </c>
      <c r="F698" s="179">
        <v>448</v>
      </c>
      <c r="G698" s="179">
        <v>449</v>
      </c>
      <c r="H698" s="85">
        <v>5200</v>
      </c>
    </row>
    <row r="699" spans="1:8" x14ac:dyDescent="0.2">
      <c r="A699" t="s">
        <v>147</v>
      </c>
      <c r="B699" s="180">
        <v>45015</v>
      </c>
      <c r="C699" s="181">
        <v>0.43888888888888888</v>
      </c>
      <c r="D699" s="179">
        <v>449</v>
      </c>
      <c r="E699" s="179">
        <v>450</v>
      </c>
      <c r="F699" s="179">
        <v>449</v>
      </c>
      <c r="G699" s="179">
        <v>449</v>
      </c>
      <c r="H699" s="85">
        <v>10500</v>
      </c>
    </row>
    <row r="700" spans="1:8" x14ac:dyDescent="0.2">
      <c r="A700" t="s">
        <v>147</v>
      </c>
      <c r="B700" s="180">
        <v>45015</v>
      </c>
      <c r="C700" s="181">
        <v>0.43958333333333338</v>
      </c>
      <c r="D700" s="179">
        <v>449</v>
      </c>
      <c r="E700" s="179">
        <v>450</v>
      </c>
      <c r="F700" s="179">
        <v>449</v>
      </c>
      <c r="G700" s="179">
        <v>449</v>
      </c>
      <c r="H700" s="85">
        <v>8200</v>
      </c>
    </row>
    <row r="701" spans="1:8" x14ac:dyDescent="0.2">
      <c r="A701" t="s">
        <v>147</v>
      </c>
      <c r="B701" s="180">
        <v>45015</v>
      </c>
      <c r="C701" s="181">
        <v>0.44027777777777777</v>
      </c>
      <c r="D701" s="179">
        <v>449</v>
      </c>
      <c r="E701" s="179">
        <v>449</v>
      </c>
      <c r="F701" s="179">
        <v>449</v>
      </c>
      <c r="G701" s="179">
        <v>449</v>
      </c>
      <c r="H701" s="85">
        <v>3600</v>
      </c>
    </row>
    <row r="702" spans="1:8" x14ac:dyDescent="0.2">
      <c r="A702" t="s">
        <v>147</v>
      </c>
      <c r="B702" s="180">
        <v>45015</v>
      </c>
      <c r="C702" s="181">
        <v>0.44097222222222227</v>
      </c>
      <c r="D702" s="179">
        <v>449</v>
      </c>
      <c r="E702" s="179">
        <v>449</v>
      </c>
      <c r="F702" s="179">
        <v>449</v>
      </c>
      <c r="G702" s="179">
        <v>449</v>
      </c>
      <c r="H702" s="85">
        <v>5300</v>
      </c>
    </row>
    <row r="703" spans="1:8" x14ac:dyDescent="0.2">
      <c r="A703" t="s">
        <v>147</v>
      </c>
      <c r="B703" s="180">
        <v>45015</v>
      </c>
      <c r="C703" s="181">
        <v>0.44166666666666665</v>
      </c>
      <c r="D703" s="179">
        <v>449</v>
      </c>
      <c r="E703" s="179">
        <v>449</v>
      </c>
      <c r="F703" s="179">
        <v>449</v>
      </c>
      <c r="G703" s="179">
        <v>449</v>
      </c>
      <c r="H703" s="85">
        <v>100</v>
      </c>
    </row>
    <row r="704" spans="1:8" x14ac:dyDescent="0.2">
      <c r="A704" t="s">
        <v>147</v>
      </c>
      <c r="B704" s="180">
        <v>45015</v>
      </c>
      <c r="C704" s="181">
        <v>0.44236111111111115</v>
      </c>
      <c r="D704" s="179">
        <v>449</v>
      </c>
      <c r="E704" s="179">
        <v>450</v>
      </c>
      <c r="F704" s="179">
        <v>449</v>
      </c>
      <c r="G704" s="179">
        <v>450</v>
      </c>
      <c r="H704" s="85">
        <v>300</v>
      </c>
    </row>
    <row r="705" spans="1:8" x14ac:dyDescent="0.2">
      <c r="A705" t="s">
        <v>147</v>
      </c>
      <c r="B705" s="180">
        <v>45015</v>
      </c>
      <c r="C705" s="181">
        <v>0.44305555555555554</v>
      </c>
      <c r="D705" s="179">
        <v>450</v>
      </c>
      <c r="E705" s="179">
        <v>451</v>
      </c>
      <c r="F705" s="179">
        <v>449</v>
      </c>
      <c r="G705" s="179">
        <v>450</v>
      </c>
      <c r="H705" s="85">
        <v>10700</v>
      </c>
    </row>
    <row r="706" spans="1:8" x14ac:dyDescent="0.2">
      <c r="A706" t="s">
        <v>147</v>
      </c>
      <c r="B706" s="180">
        <v>45015</v>
      </c>
      <c r="C706" s="181">
        <v>0.44375000000000003</v>
      </c>
      <c r="D706" s="179">
        <v>451</v>
      </c>
      <c r="E706" s="179">
        <v>451</v>
      </c>
      <c r="F706" s="179">
        <v>451</v>
      </c>
      <c r="G706" s="179">
        <v>451</v>
      </c>
      <c r="H706" s="85">
        <v>34900</v>
      </c>
    </row>
    <row r="707" spans="1:8" x14ac:dyDescent="0.2">
      <c r="A707" t="s">
        <v>147</v>
      </c>
      <c r="B707" s="180">
        <v>45015</v>
      </c>
      <c r="C707" s="181">
        <v>0.44444444444444442</v>
      </c>
      <c r="D707" s="179">
        <v>451</v>
      </c>
      <c r="E707" s="179">
        <v>451</v>
      </c>
      <c r="F707" s="179">
        <v>450</v>
      </c>
      <c r="G707" s="179">
        <v>451</v>
      </c>
      <c r="H707" s="85">
        <v>1400</v>
      </c>
    </row>
    <row r="708" spans="1:8" x14ac:dyDescent="0.2">
      <c r="A708" t="s">
        <v>147</v>
      </c>
      <c r="B708" s="180">
        <v>45015</v>
      </c>
      <c r="C708" s="181">
        <v>0.44513888888888892</v>
      </c>
      <c r="D708" s="179">
        <v>451</v>
      </c>
      <c r="E708" s="179">
        <v>451</v>
      </c>
      <c r="F708" s="179">
        <v>451</v>
      </c>
      <c r="G708" s="179">
        <v>451</v>
      </c>
      <c r="H708" s="85">
        <v>3600</v>
      </c>
    </row>
    <row r="709" spans="1:8" x14ac:dyDescent="0.2">
      <c r="A709" t="s">
        <v>147</v>
      </c>
      <c r="B709" s="180">
        <v>45015</v>
      </c>
      <c r="C709" s="181">
        <v>0.4458333333333333</v>
      </c>
      <c r="D709" s="179">
        <v>451</v>
      </c>
      <c r="E709" s="179">
        <v>451</v>
      </c>
      <c r="F709" s="179">
        <v>451</v>
      </c>
      <c r="G709" s="179">
        <v>451</v>
      </c>
      <c r="H709" s="85">
        <v>1600</v>
      </c>
    </row>
    <row r="710" spans="1:8" x14ac:dyDescent="0.2">
      <c r="A710" t="s">
        <v>147</v>
      </c>
      <c r="B710" s="180">
        <v>45015</v>
      </c>
      <c r="C710" s="181">
        <v>0.4465277777777778</v>
      </c>
      <c r="D710" s="179">
        <v>451</v>
      </c>
      <c r="E710" s="179">
        <v>451</v>
      </c>
      <c r="F710" s="179">
        <v>451</v>
      </c>
      <c r="G710" s="179">
        <v>451</v>
      </c>
      <c r="H710" s="85">
        <v>1400</v>
      </c>
    </row>
    <row r="711" spans="1:8" x14ac:dyDescent="0.2">
      <c r="A711" t="s">
        <v>147</v>
      </c>
      <c r="B711" s="180">
        <v>45015</v>
      </c>
      <c r="C711" s="181">
        <v>0.44722222222222219</v>
      </c>
      <c r="D711" s="179">
        <v>451</v>
      </c>
      <c r="E711" s="179">
        <v>451</v>
      </c>
      <c r="F711" s="179">
        <v>451</v>
      </c>
      <c r="G711" s="179">
        <v>451</v>
      </c>
      <c r="H711" s="85">
        <v>2400</v>
      </c>
    </row>
    <row r="712" spans="1:8" x14ac:dyDescent="0.2">
      <c r="A712" t="s">
        <v>147</v>
      </c>
      <c r="B712" s="180">
        <v>45015</v>
      </c>
      <c r="C712" s="181">
        <v>0.44791666666666669</v>
      </c>
      <c r="D712" s="179">
        <v>451</v>
      </c>
      <c r="E712" s="179">
        <v>451</v>
      </c>
      <c r="F712" s="179">
        <v>451</v>
      </c>
      <c r="G712" s="179">
        <v>451</v>
      </c>
      <c r="H712" s="85">
        <v>0</v>
      </c>
    </row>
    <row r="713" spans="1:8" x14ac:dyDescent="0.2">
      <c r="A713" t="s">
        <v>147</v>
      </c>
      <c r="B713" s="180">
        <v>45015</v>
      </c>
      <c r="C713" s="181">
        <v>0.44861111111111113</v>
      </c>
      <c r="D713" s="179">
        <v>451</v>
      </c>
      <c r="E713" s="179">
        <v>451</v>
      </c>
      <c r="F713" s="179">
        <v>451</v>
      </c>
      <c r="G713" s="179">
        <v>451</v>
      </c>
      <c r="H713" s="85">
        <v>13900</v>
      </c>
    </row>
    <row r="714" spans="1:8" x14ac:dyDescent="0.2">
      <c r="A714" t="s">
        <v>147</v>
      </c>
      <c r="B714" s="180">
        <v>45015</v>
      </c>
      <c r="C714" s="181">
        <v>0.44930555555555557</v>
      </c>
      <c r="D714" s="179">
        <v>451</v>
      </c>
      <c r="E714" s="179">
        <v>451</v>
      </c>
      <c r="F714" s="179">
        <v>451</v>
      </c>
      <c r="G714" s="179">
        <v>451</v>
      </c>
      <c r="H714" s="85">
        <v>2100</v>
      </c>
    </row>
    <row r="715" spans="1:8" x14ac:dyDescent="0.2">
      <c r="A715" t="s">
        <v>147</v>
      </c>
      <c r="B715" s="180">
        <v>45015</v>
      </c>
      <c r="C715" s="181">
        <v>0.45</v>
      </c>
      <c r="D715" s="179">
        <v>451</v>
      </c>
      <c r="E715" s="179">
        <v>451</v>
      </c>
      <c r="F715" s="179">
        <v>451</v>
      </c>
      <c r="G715" s="179">
        <v>451</v>
      </c>
      <c r="H715" s="85">
        <v>2500</v>
      </c>
    </row>
    <row r="716" spans="1:8" x14ac:dyDescent="0.2">
      <c r="A716" t="s">
        <v>147</v>
      </c>
      <c r="B716" s="180">
        <v>45015</v>
      </c>
      <c r="C716" s="181">
        <v>0.45069444444444445</v>
      </c>
      <c r="D716" s="179">
        <v>451</v>
      </c>
      <c r="E716" s="179">
        <v>451</v>
      </c>
      <c r="F716" s="179">
        <v>451</v>
      </c>
      <c r="G716" s="179">
        <v>451</v>
      </c>
      <c r="H716" s="85">
        <v>2000</v>
      </c>
    </row>
    <row r="717" spans="1:8" x14ac:dyDescent="0.2">
      <c r="A717" t="s">
        <v>147</v>
      </c>
      <c r="B717" s="180">
        <v>45015</v>
      </c>
      <c r="C717" s="181">
        <v>0.4513888888888889</v>
      </c>
      <c r="D717" s="179">
        <v>451</v>
      </c>
      <c r="E717" s="179">
        <v>451</v>
      </c>
      <c r="F717" s="179">
        <v>451</v>
      </c>
      <c r="G717" s="179">
        <v>451</v>
      </c>
      <c r="H717" s="85">
        <v>900</v>
      </c>
    </row>
    <row r="718" spans="1:8" x14ac:dyDescent="0.2">
      <c r="A718" t="s">
        <v>147</v>
      </c>
      <c r="B718" s="180">
        <v>45015</v>
      </c>
      <c r="C718" s="181">
        <v>0.45208333333333334</v>
      </c>
      <c r="D718" s="179">
        <v>451</v>
      </c>
      <c r="E718" s="179">
        <v>451</v>
      </c>
      <c r="F718" s="179">
        <v>450</v>
      </c>
      <c r="G718" s="179">
        <v>451</v>
      </c>
      <c r="H718" s="85">
        <v>2200</v>
      </c>
    </row>
    <row r="719" spans="1:8" x14ac:dyDescent="0.2">
      <c r="A719" t="s">
        <v>147</v>
      </c>
      <c r="B719" s="180">
        <v>45015</v>
      </c>
      <c r="C719" s="181">
        <v>0.45277777777777778</v>
      </c>
      <c r="D719" s="179">
        <v>450</v>
      </c>
      <c r="E719" s="179">
        <v>450</v>
      </c>
      <c r="F719" s="179">
        <v>450</v>
      </c>
      <c r="G719" s="179">
        <v>450</v>
      </c>
      <c r="H719" s="85">
        <v>20600</v>
      </c>
    </row>
    <row r="720" spans="1:8" x14ac:dyDescent="0.2">
      <c r="A720" t="s">
        <v>147</v>
      </c>
      <c r="B720" s="180">
        <v>45015</v>
      </c>
      <c r="C720" s="181">
        <v>0.45347222222222222</v>
      </c>
      <c r="D720" s="179">
        <v>450</v>
      </c>
      <c r="E720" s="179">
        <v>450</v>
      </c>
      <c r="F720" s="179">
        <v>450</v>
      </c>
      <c r="G720" s="179">
        <v>450</v>
      </c>
      <c r="H720" s="85">
        <v>0</v>
      </c>
    </row>
    <row r="721" spans="1:8" x14ac:dyDescent="0.2">
      <c r="A721" t="s">
        <v>147</v>
      </c>
      <c r="B721" s="180">
        <v>45015</v>
      </c>
      <c r="C721" s="181">
        <v>0.45416666666666666</v>
      </c>
      <c r="D721" s="179">
        <v>449</v>
      </c>
      <c r="E721" s="179">
        <v>450</v>
      </c>
      <c r="F721" s="179">
        <v>449</v>
      </c>
      <c r="G721" s="179">
        <v>449</v>
      </c>
      <c r="H721" s="85">
        <v>4100</v>
      </c>
    </row>
    <row r="722" spans="1:8" x14ac:dyDescent="0.2">
      <c r="A722" t="s">
        <v>147</v>
      </c>
      <c r="B722" s="180">
        <v>45015</v>
      </c>
      <c r="C722" s="181">
        <v>0.4548611111111111</v>
      </c>
      <c r="D722" s="179">
        <v>450</v>
      </c>
      <c r="E722" s="179">
        <v>450</v>
      </c>
      <c r="F722" s="179">
        <v>450</v>
      </c>
      <c r="G722" s="179">
        <v>450</v>
      </c>
      <c r="H722" s="85">
        <v>900</v>
      </c>
    </row>
    <row r="723" spans="1:8" x14ac:dyDescent="0.2">
      <c r="A723" t="s">
        <v>147</v>
      </c>
      <c r="B723" s="180">
        <v>45015</v>
      </c>
      <c r="C723" s="181">
        <v>0.45555555555555555</v>
      </c>
      <c r="D723" s="179">
        <v>449</v>
      </c>
      <c r="E723" s="179">
        <v>449</v>
      </c>
      <c r="F723" s="179">
        <v>449</v>
      </c>
      <c r="G723" s="179">
        <v>449</v>
      </c>
      <c r="H723" s="85">
        <v>1300</v>
      </c>
    </row>
    <row r="724" spans="1:8" x14ac:dyDescent="0.2">
      <c r="A724" t="s">
        <v>147</v>
      </c>
      <c r="B724" s="180">
        <v>45015</v>
      </c>
      <c r="C724" s="181">
        <v>0.45624999999999999</v>
      </c>
      <c r="D724" s="179">
        <v>450</v>
      </c>
      <c r="E724" s="179">
        <v>450</v>
      </c>
      <c r="F724" s="179">
        <v>449</v>
      </c>
      <c r="G724" s="179">
        <v>449</v>
      </c>
      <c r="H724" s="85">
        <v>19100</v>
      </c>
    </row>
    <row r="725" spans="1:8" x14ac:dyDescent="0.2">
      <c r="A725" t="s">
        <v>147</v>
      </c>
      <c r="B725" s="180">
        <v>45015</v>
      </c>
      <c r="C725" s="181">
        <v>0.45694444444444443</v>
      </c>
      <c r="D725" s="179">
        <v>449</v>
      </c>
      <c r="E725" s="179">
        <v>449</v>
      </c>
      <c r="F725" s="179">
        <v>449</v>
      </c>
      <c r="G725" s="179">
        <v>449</v>
      </c>
      <c r="H725" s="85">
        <v>1100</v>
      </c>
    </row>
    <row r="726" spans="1:8" x14ac:dyDescent="0.2">
      <c r="A726" t="s">
        <v>147</v>
      </c>
      <c r="B726" s="180">
        <v>45015</v>
      </c>
      <c r="C726" s="181">
        <v>0.45763888888888887</v>
      </c>
      <c r="D726" s="179">
        <v>449</v>
      </c>
      <c r="E726" s="179">
        <v>449</v>
      </c>
      <c r="F726" s="179">
        <v>449</v>
      </c>
      <c r="G726" s="179">
        <v>449</v>
      </c>
      <c r="H726" s="85">
        <v>6100</v>
      </c>
    </row>
    <row r="727" spans="1:8" x14ac:dyDescent="0.2">
      <c r="A727" t="s">
        <v>147</v>
      </c>
      <c r="B727" s="180">
        <v>45015</v>
      </c>
      <c r="C727" s="181">
        <v>0.45833333333333331</v>
      </c>
      <c r="D727" s="179">
        <v>449</v>
      </c>
      <c r="E727" s="179">
        <v>449</v>
      </c>
      <c r="F727" s="179">
        <v>449</v>
      </c>
      <c r="G727" s="179">
        <v>449</v>
      </c>
      <c r="H727" s="85">
        <v>1200</v>
      </c>
    </row>
    <row r="728" spans="1:8" x14ac:dyDescent="0.2">
      <c r="A728" t="s">
        <v>147</v>
      </c>
      <c r="B728" s="180">
        <v>45015</v>
      </c>
      <c r="C728" s="181">
        <v>0.45902777777777781</v>
      </c>
      <c r="D728" s="179">
        <v>449</v>
      </c>
      <c r="E728" s="179">
        <v>449</v>
      </c>
      <c r="F728" s="179">
        <v>449</v>
      </c>
      <c r="G728" s="179">
        <v>449</v>
      </c>
      <c r="H728" s="85">
        <v>400</v>
      </c>
    </row>
    <row r="729" spans="1:8" x14ac:dyDescent="0.2">
      <c r="A729" t="s">
        <v>147</v>
      </c>
      <c r="B729" s="180">
        <v>45015</v>
      </c>
      <c r="C729" s="181">
        <v>0.4597222222222222</v>
      </c>
      <c r="D729" s="179">
        <v>449</v>
      </c>
      <c r="E729" s="179">
        <v>449</v>
      </c>
      <c r="F729" s="179">
        <v>449</v>
      </c>
      <c r="G729" s="179">
        <v>449</v>
      </c>
      <c r="H729" s="85">
        <v>4900</v>
      </c>
    </row>
    <row r="730" spans="1:8" x14ac:dyDescent="0.2">
      <c r="A730" t="s">
        <v>147</v>
      </c>
      <c r="B730" s="180">
        <v>45015</v>
      </c>
      <c r="C730" s="181">
        <v>0.4604166666666667</v>
      </c>
      <c r="D730" s="179">
        <v>450</v>
      </c>
      <c r="E730" s="179">
        <v>450</v>
      </c>
      <c r="F730" s="179">
        <v>450</v>
      </c>
      <c r="G730" s="179">
        <v>450</v>
      </c>
      <c r="H730" s="85">
        <v>1000</v>
      </c>
    </row>
    <row r="731" spans="1:8" x14ac:dyDescent="0.2">
      <c r="A731" t="s">
        <v>147</v>
      </c>
      <c r="B731" s="180">
        <v>45015</v>
      </c>
      <c r="C731" s="181">
        <v>0.46111111111111108</v>
      </c>
      <c r="D731" s="179">
        <v>450</v>
      </c>
      <c r="E731" s="179">
        <v>450</v>
      </c>
      <c r="F731" s="179">
        <v>450</v>
      </c>
      <c r="G731" s="179">
        <v>450</v>
      </c>
      <c r="H731" s="85">
        <v>0</v>
      </c>
    </row>
    <row r="732" spans="1:8" x14ac:dyDescent="0.2">
      <c r="A732" t="s">
        <v>147</v>
      </c>
      <c r="B732" s="180">
        <v>45015</v>
      </c>
      <c r="C732" s="181">
        <v>0.46180555555555558</v>
      </c>
      <c r="D732" s="179">
        <v>450</v>
      </c>
      <c r="E732" s="179">
        <v>450</v>
      </c>
      <c r="F732" s="179">
        <v>450</v>
      </c>
      <c r="G732" s="179">
        <v>450</v>
      </c>
      <c r="H732" s="85">
        <v>4500</v>
      </c>
    </row>
    <row r="733" spans="1:8" x14ac:dyDescent="0.2">
      <c r="A733" t="s">
        <v>147</v>
      </c>
      <c r="B733" s="180">
        <v>45015</v>
      </c>
      <c r="C733" s="181">
        <v>0.46249999999999997</v>
      </c>
      <c r="D733" s="179">
        <v>449</v>
      </c>
      <c r="E733" s="179">
        <v>449</v>
      </c>
      <c r="F733" s="179">
        <v>449</v>
      </c>
      <c r="G733" s="179">
        <v>449</v>
      </c>
      <c r="H733" s="85">
        <v>3800</v>
      </c>
    </row>
    <row r="734" spans="1:8" x14ac:dyDescent="0.2">
      <c r="A734" t="s">
        <v>147</v>
      </c>
      <c r="B734" s="180">
        <v>45015</v>
      </c>
      <c r="C734" s="181">
        <v>0.46319444444444446</v>
      </c>
      <c r="D734" s="179">
        <v>449</v>
      </c>
      <c r="E734" s="179">
        <v>449</v>
      </c>
      <c r="F734" s="179">
        <v>449</v>
      </c>
      <c r="G734" s="179">
        <v>449</v>
      </c>
      <c r="H734" s="85">
        <v>700</v>
      </c>
    </row>
    <row r="735" spans="1:8" x14ac:dyDescent="0.2">
      <c r="A735" t="s">
        <v>147</v>
      </c>
      <c r="B735" s="180">
        <v>45015</v>
      </c>
      <c r="C735" s="181">
        <v>0.46388888888888885</v>
      </c>
      <c r="D735" s="179">
        <v>450</v>
      </c>
      <c r="E735" s="179">
        <v>450</v>
      </c>
      <c r="F735" s="179">
        <v>450</v>
      </c>
      <c r="G735" s="179">
        <v>450</v>
      </c>
      <c r="H735" s="85">
        <v>3700</v>
      </c>
    </row>
    <row r="736" spans="1:8" x14ac:dyDescent="0.2">
      <c r="A736" t="s">
        <v>147</v>
      </c>
      <c r="B736" s="180">
        <v>45015</v>
      </c>
      <c r="C736" s="181">
        <v>0.46458333333333335</v>
      </c>
      <c r="D736" s="179">
        <v>449</v>
      </c>
      <c r="E736" s="179">
        <v>449</v>
      </c>
      <c r="F736" s="179">
        <v>449</v>
      </c>
      <c r="G736" s="179">
        <v>449</v>
      </c>
      <c r="H736" s="85">
        <v>3800</v>
      </c>
    </row>
    <row r="737" spans="1:8" x14ac:dyDescent="0.2">
      <c r="A737" t="s">
        <v>147</v>
      </c>
      <c r="B737" s="180">
        <v>45015</v>
      </c>
      <c r="C737" s="181">
        <v>0.46527777777777773</v>
      </c>
      <c r="D737" s="179">
        <v>450</v>
      </c>
      <c r="E737" s="179">
        <v>450</v>
      </c>
      <c r="F737" s="179">
        <v>450</v>
      </c>
      <c r="G737" s="179">
        <v>450</v>
      </c>
      <c r="H737" s="85">
        <v>2300</v>
      </c>
    </row>
    <row r="738" spans="1:8" x14ac:dyDescent="0.2">
      <c r="A738" t="s">
        <v>147</v>
      </c>
      <c r="B738" s="180">
        <v>45015</v>
      </c>
      <c r="C738" s="181">
        <v>0.46597222222222223</v>
      </c>
      <c r="D738" s="179">
        <v>450</v>
      </c>
      <c r="E738" s="179">
        <v>450</v>
      </c>
      <c r="F738" s="179">
        <v>449</v>
      </c>
      <c r="G738" s="179">
        <v>450</v>
      </c>
      <c r="H738" s="85">
        <v>8300</v>
      </c>
    </row>
    <row r="739" spans="1:8" x14ac:dyDescent="0.2">
      <c r="A739" t="s">
        <v>147</v>
      </c>
      <c r="B739" s="180">
        <v>45015</v>
      </c>
      <c r="C739" s="181">
        <v>0.46666666666666662</v>
      </c>
      <c r="D739" s="179">
        <v>449</v>
      </c>
      <c r="E739" s="179">
        <v>450</v>
      </c>
      <c r="F739" s="179">
        <v>449</v>
      </c>
      <c r="G739" s="179">
        <v>450</v>
      </c>
      <c r="H739" s="85">
        <v>300</v>
      </c>
    </row>
    <row r="740" spans="1:8" x14ac:dyDescent="0.2">
      <c r="A740" t="s">
        <v>147</v>
      </c>
      <c r="B740" s="180">
        <v>45015</v>
      </c>
      <c r="C740" s="181">
        <v>0.46736111111111112</v>
      </c>
      <c r="D740" s="179">
        <v>449</v>
      </c>
      <c r="E740" s="179">
        <v>450</v>
      </c>
      <c r="F740" s="179">
        <v>449</v>
      </c>
      <c r="G740" s="179">
        <v>450</v>
      </c>
      <c r="H740" s="85">
        <v>2300</v>
      </c>
    </row>
    <row r="741" spans="1:8" x14ac:dyDescent="0.2">
      <c r="A741" t="s">
        <v>147</v>
      </c>
      <c r="B741" s="180">
        <v>45015</v>
      </c>
      <c r="C741" s="181">
        <v>0.4680555555555555</v>
      </c>
      <c r="D741" s="179">
        <v>449</v>
      </c>
      <c r="E741" s="179">
        <v>449</v>
      </c>
      <c r="F741" s="179">
        <v>449</v>
      </c>
      <c r="G741" s="179">
        <v>449</v>
      </c>
      <c r="H741" s="85">
        <v>2100</v>
      </c>
    </row>
    <row r="742" spans="1:8" x14ac:dyDescent="0.2">
      <c r="A742" t="s">
        <v>147</v>
      </c>
      <c r="B742" s="180">
        <v>45015</v>
      </c>
      <c r="C742" s="181">
        <v>0.46875</v>
      </c>
      <c r="D742" s="179">
        <v>449</v>
      </c>
      <c r="E742" s="179">
        <v>449</v>
      </c>
      <c r="F742" s="179">
        <v>449</v>
      </c>
      <c r="G742" s="179">
        <v>449</v>
      </c>
      <c r="H742" s="85">
        <v>400</v>
      </c>
    </row>
    <row r="743" spans="1:8" x14ac:dyDescent="0.2">
      <c r="A743" t="s">
        <v>147</v>
      </c>
      <c r="B743" s="180">
        <v>45015</v>
      </c>
      <c r="C743" s="181">
        <v>0.4694444444444445</v>
      </c>
      <c r="D743" s="179">
        <v>449</v>
      </c>
      <c r="E743" s="179">
        <v>449</v>
      </c>
      <c r="F743" s="179">
        <v>449</v>
      </c>
      <c r="G743" s="179">
        <v>449</v>
      </c>
      <c r="H743" s="85">
        <v>1900</v>
      </c>
    </row>
    <row r="744" spans="1:8" x14ac:dyDescent="0.2">
      <c r="A744" t="s">
        <v>147</v>
      </c>
      <c r="B744" s="180">
        <v>45015</v>
      </c>
      <c r="C744" s="181">
        <v>0.47013888888888888</v>
      </c>
      <c r="D744" s="179">
        <v>449</v>
      </c>
      <c r="E744" s="179">
        <v>449</v>
      </c>
      <c r="F744" s="179">
        <v>449</v>
      </c>
      <c r="G744" s="179">
        <v>449</v>
      </c>
      <c r="H744" s="85">
        <v>700</v>
      </c>
    </row>
    <row r="745" spans="1:8" x14ac:dyDescent="0.2">
      <c r="A745" t="s">
        <v>147</v>
      </c>
      <c r="B745" s="180">
        <v>45015</v>
      </c>
      <c r="C745" s="181">
        <v>0.47083333333333338</v>
      </c>
      <c r="D745" s="179">
        <v>449</v>
      </c>
      <c r="E745" s="179">
        <v>449</v>
      </c>
      <c r="F745" s="179">
        <v>449</v>
      </c>
      <c r="G745" s="179">
        <v>449</v>
      </c>
      <c r="H745" s="85">
        <v>2300</v>
      </c>
    </row>
    <row r="746" spans="1:8" x14ac:dyDescent="0.2">
      <c r="A746" t="s">
        <v>147</v>
      </c>
      <c r="B746" s="180">
        <v>45015</v>
      </c>
      <c r="C746" s="181">
        <v>0.47152777777777777</v>
      </c>
      <c r="D746" s="179">
        <v>449</v>
      </c>
      <c r="E746" s="179">
        <v>449</v>
      </c>
      <c r="F746" s="179">
        <v>448</v>
      </c>
      <c r="G746" s="179">
        <v>448</v>
      </c>
      <c r="H746" s="85">
        <v>5800</v>
      </c>
    </row>
    <row r="747" spans="1:8" x14ac:dyDescent="0.2">
      <c r="A747" t="s">
        <v>147</v>
      </c>
      <c r="B747" s="180">
        <v>45015</v>
      </c>
      <c r="C747" s="181">
        <v>0.47222222222222227</v>
      </c>
      <c r="D747" s="179">
        <v>448</v>
      </c>
      <c r="E747" s="179">
        <v>449</v>
      </c>
      <c r="F747" s="179">
        <v>448</v>
      </c>
      <c r="G747" s="179">
        <v>448</v>
      </c>
      <c r="H747" s="85">
        <v>10400</v>
      </c>
    </row>
    <row r="748" spans="1:8" x14ac:dyDescent="0.2">
      <c r="A748" t="s">
        <v>147</v>
      </c>
      <c r="B748" s="180">
        <v>45015</v>
      </c>
      <c r="C748" s="181">
        <v>0.47291666666666665</v>
      </c>
      <c r="D748" s="179">
        <v>449</v>
      </c>
      <c r="E748" s="179">
        <v>449</v>
      </c>
      <c r="F748" s="179">
        <v>449</v>
      </c>
      <c r="G748" s="179">
        <v>449</v>
      </c>
      <c r="H748" s="85">
        <v>5500</v>
      </c>
    </row>
    <row r="749" spans="1:8" x14ac:dyDescent="0.2">
      <c r="A749" t="s">
        <v>147</v>
      </c>
      <c r="B749" s="180">
        <v>45015</v>
      </c>
      <c r="C749" s="181">
        <v>0.47361111111111115</v>
      </c>
      <c r="D749" s="179">
        <v>449</v>
      </c>
      <c r="E749" s="179">
        <v>450</v>
      </c>
      <c r="F749" s="179">
        <v>449</v>
      </c>
      <c r="G749" s="179">
        <v>450</v>
      </c>
      <c r="H749" s="85">
        <v>3700</v>
      </c>
    </row>
    <row r="750" spans="1:8" x14ac:dyDescent="0.2">
      <c r="A750" t="s">
        <v>147</v>
      </c>
      <c r="B750" s="180">
        <v>45015</v>
      </c>
      <c r="C750" s="181">
        <v>0.47430555555555554</v>
      </c>
      <c r="D750" s="179">
        <v>449</v>
      </c>
      <c r="E750" s="179">
        <v>449</v>
      </c>
      <c r="F750" s="179">
        <v>449</v>
      </c>
      <c r="G750" s="179">
        <v>449</v>
      </c>
      <c r="H750" s="85">
        <v>100</v>
      </c>
    </row>
    <row r="751" spans="1:8" x14ac:dyDescent="0.2">
      <c r="A751" t="s">
        <v>147</v>
      </c>
      <c r="B751" s="180">
        <v>45015</v>
      </c>
      <c r="C751" s="181">
        <v>0.47500000000000003</v>
      </c>
      <c r="D751" s="179">
        <v>449</v>
      </c>
      <c r="E751" s="179">
        <v>449</v>
      </c>
      <c r="F751" s="179">
        <v>449</v>
      </c>
      <c r="G751" s="179">
        <v>449</v>
      </c>
      <c r="H751" s="85">
        <v>9500</v>
      </c>
    </row>
    <row r="752" spans="1:8" x14ac:dyDescent="0.2">
      <c r="A752" t="s">
        <v>147</v>
      </c>
      <c r="B752" s="180">
        <v>45015</v>
      </c>
      <c r="C752" s="181">
        <v>0.47569444444444442</v>
      </c>
      <c r="D752" s="179">
        <v>449</v>
      </c>
      <c r="E752" s="179">
        <v>449</v>
      </c>
      <c r="F752" s="179">
        <v>449</v>
      </c>
      <c r="G752" s="179">
        <v>449</v>
      </c>
      <c r="H752" s="85">
        <v>3000</v>
      </c>
    </row>
    <row r="753" spans="1:8" x14ac:dyDescent="0.2">
      <c r="A753" t="s">
        <v>147</v>
      </c>
      <c r="B753" s="180">
        <v>45015</v>
      </c>
      <c r="C753" s="181">
        <v>0.47638888888888892</v>
      </c>
      <c r="D753" s="179">
        <v>449</v>
      </c>
      <c r="E753" s="179">
        <v>449</v>
      </c>
      <c r="F753" s="179">
        <v>449</v>
      </c>
      <c r="G753" s="179">
        <v>449</v>
      </c>
      <c r="H753" s="85">
        <v>3100</v>
      </c>
    </row>
    <row r="754" spans="1:8" x14ac:dyDescent="0.2">
      <c r="A754" t="s">
        <v>147</v>
      </c>
      <c r="B754" s="180">
        <v>45015</v>
      </c>
      <c r="C754" s="181">
        <v>0.4770833333333333</v>
      </c>
      <c r="D754" s="179">
        <v>449</v>
      </c>
      <c r="E754" s="179">
        <v>449</v>
      </c>
      <c r="F754" s="179">
        <v>448</v>
      </c>
      <c r="G754" s="179">
        <v>448</v>
      </c>
      <c r="H754" s="85">
        <v>1000</v>
      </c>
    </row>
    <row r="755" spans="1:8" x14ac:dyDescent="0.2">
      <c r="A755" t="s">
        <v>147</v>
      </c>
      <c r="B755" s="180">
        <v>45015</v>
      </c>
      <c r="C755" s="181">
        <v>0.4777777777777778</v>
      </c>
      <c r="D755" s="179">
        <v>449</v>
      </c>
      <c r="E755" s="179">
        <v>449</v>
      </c>
      <c r="F755" s="179">
        <v>448</v>
      </c>
      <c r="G755" s="179">
        <v>448</v>
      </c>
      <c r="H755" s="85">
        <v>1000</v>
      </c>
    </row>
    <row r="756" spans="1:8" x14ac:dyDescent="0.2">
      <c r="A756" t="s">
        <v>147</v>
      </c>
      <c r="B756" s="180">
        <v>45015</v>
      </c>
      <c r="C756" s="181">
        <v>0.47847222222222219</v>
      </c>
      <c r="D756" s="179">
        <v>449</v>
      </c>
      <c r="E756" s="179">
        <v>449</v>
      </c>
      <c r="F756" s="179">
        <v>448</v>
      </c>
      <c r="G756" s="179">
        <v>449</v>
      </c>
      <c r="H756" s="85">
        <v>1800</v>
      </c>
    </row>
    <row r="757" spans="1:8" x14ac:dyDescent="0.2">
      <c r="A757" t="s">
        <v>147</v>
      </c>
      <c r="B757" s="180">
        <v>45015</v>
      </c>
      <c r="C757" s="181">
        <v>0.47916666666666669</v>
      </c>
      <c r="D757" s="179">
        <v>450</v>
      </c>
      <c r="E757" s="179">
        <v>450</v>
      </c>
      <c r="F757" s="179">
        <v>450</v>
      </c>
      <c r="G757" s="179">
        <v>450</v>
      </c>
      <c r="H757" s="85">
        <v>18000</v>
      </c>
    </row>
    <row r="758" spans="1:8" x14ac:dyDescent="0.2">
      <c r="A758" t="s">
        <v>147</v>
      </c>
      <c r="B758" s="180">
        <v>45015</v>
      </c>
      <c r="C758" s="181">
        <v>0.52083333333333337</v>
      </c>
      <c r="D758" s="179">
        <v>449</v>
      </c>
      <c r="E758" s="179">
        <v>450</v>
      </c>
      <c r="F758" s="179">
        <v>446</v>
      </c>
      <c r="G758" s="179">
        <v>449</v>
      </c>
      <c r="H758" s="85">
        <v>148200</v>
      </c>
    </row>
    <row r="759" spans="1:8" x14ac:dyDescent="0.2">
      <c r="A759" t="s">
        <v>147</v>
      </c>
      <c r="B759" s="180">
        <v>45015</v>
      </c>
      <c r="C759" s="181">
        <v>0.52152777777777781</v>
      </c>
      <c r="D759" s="179">
        <v>450</v>
      </c>
      <c r="E759" s="179">
        <v>450</v>
      </c>
      <c r="F759" s="179">
        <v>450</v>
      </c>
      <c r="G759" s="179">
        <v>450</v>
      </c>
      <c r="H759" s="85">
        <v>13200</v>
      </c>
    </row>
    <row r="760" spans="1:8" x14ac:dyDescent="0.2">
      <c r="A760" t="s">
        <v>147</v>
      </c>
      <c r="B760" s="180">
        <v>45015</v>
      </c>
      <c r="C760" s="181">
        <v>0.52222222222222225</v>
      </c>
      <c r="D760" s="179">
        <v>450</v>
      </c>
      <c r="E760" s="179">
        <v>450</v>
      </c>
      <c r="F760" s="179">
        <v>450</v>
      </c>
      <c r="G760" s="179">
        <v>450</v>
      </c>
      <c r="H760" s="85">
        <v>1600</v>
      </c>
    </row>
    <row r="761" spans="1:8" x14ac:dyDescent="0.2">
      <c r="A761" t="s">
        <v>147</v>
      </c>
      <c r="B761" s="180">
        <v>45015</v>
      </c>
      <c r="C761" s="181">
        <v>0.5229166666666667</v>
      </c>
      <c r="D761" s="179">
        <v>450</v>
      </c>
      <c r="E761" s="179">
        <v>450</v>
      </c>
      <c r="F761" s="179">
        <v>450</v>
      </c>
      <c r="G761" s="179">
        <v>450</v>
      </c>
      <c r="H761" s="85">
        <v>2000</v>
      </c>
    </row>
    <row r="762" spans="1:8" x14ac:dyDescent="0.2">
      <c r="A762" t="s">
        <v>147</v>
      </c>
      <c r="B762" s="180">
        <v>45015</v>
      </c>
      <c r="C762" s="181">
        <v>0.52361111111111114</v>
      </c>
      <c r="D762" s="179">
        <v>450</v>
      </c>
      <c r="E762" s="179">
        <v>452</v>
      </c>
      <c r="F762" s="179">
        <v>450</v>
      </c>
      <c r="G762" s="179">
        <v>452</v>
      </c>
      <c r="H762" s="85">
        <v>31500</v>
      </c>
    </row>
    <row r="763" spans="1:8" x14ac:dyDescent="0.2">
      <c r="A763" t="s">
        <v>147</v>
      </c>
      <c r="B763" s="180">
        <v>45015</v>
      </c>
      <c r="C763" s="181">
        <v>0.52430555555555558</v>
      </c>
      <c r="D763" s="179">
        <v>452</v>
      </c>
      <c r="E763" s="179">
        <v>452</v>
      </c>
      <c r="F763" s="179">
        <v>452</v>
      </c>
      <c r="G763" s="179">
        <v>452</v>
      </c>
      <c r="H763" s="85">
        <v>12800</v>
      </c>
    </row>
    <row r="764" spans="1:8" x14ac:dyDescent="0.2">
      <c r="A764" t="s">
        <v>147</v>
      </c>
      <c r="B764" s="180">
        <v>45015</v>
      </c>
      <c r="C764" s="181">
        <v>0.52500000000000002</v>
      </c>
      <c r="D764" s="179">
        <v>452</v>
      </c>
      <c r="E764" s="179">
        <v>452</v>
      </c>
      <c r="F764" s="179">
        <v>452</v>
      </c>
      <c r="G764" s="179">
        <v>452</v>
      </c>
      <c r="H764" s="85">
        <v>500</v>
      </c>
    </row>
    <row r="765" spans="1:8" x14ac:dyDescent="0.2">
      <c r="A765" t="s">
        <v>147</v>
      </c>
      <c r="B765" s="180">
        <v>45015</v>
      </c>
      <c r="C765" s="181">
        <v>0.52569444444444446</v>
      </c>
      <c r="D765" s="179">
        <v>453</v>
      </c>
      <c r="E765" s="179">
        <v>454</v>
      </c>
      <c r="F765" s="179">
        <v>453</v>
      </c>
      <c r="G765" s="179">
        <v>454</v>
      </c>
      <c r="H765" s="85">
        <v>19500</v>
      </c>
    </row>
    <row r="766" spans="1:8" x14ac:dyDescent="0.2">
      <c r="A766" t="s">
        <v>147</v>
      </c>
      <c r="B766" s="180">
        <v>45015</v>
      </c>
      <c r="C766" s="181">
        <v>0.52638888888888891</v>
      </c>
      <c r="D766" s="179">
        <v>454</v>
      </c>
      <c r="E766" s="179">
        <v>455</v>
      </c>
      <c r="F766" s="179">
        <v>454</v>
      </c>
      <c r="G766" s="179">
        <v>454</v>
      </c>
      <c r="H766" s="85">
        <v>25200</v>
      </c>
    </row>
    <row r="767" spans="1:8" x14ac:dyDescent="0.2">
      <c r="A767" t="s">
        <v>147</v>
      </c>
      <c r="B767" s="180">
        <v>45015</v>
      </c>
      <c r="C767" s="181">
        <v>0.52708333333333335</v>
      </c>
      <c r="D767" s="179">
        <v>454</v>
      </c>
      <c r="E767" s="179">
        <v>454</v>
      </c>
      <c r="F767" s="179">
        <v>454</v>
      </c>
      <c r="G767" s="179">
        <v>454</v>
      </c>
      <c r="H767" s="85">
        <v>100</v>
      </c>
    </row>
    <row r="768" spans="1:8" x14ac:dyDescent="0.2">
      <c r="A768" t="s">
        <v>147</v>
      </c>
      <c r="B768" s="180">
        <v>45015</v>
      </c>
      <c r="C768" s="181">
        <v>0.52777777777777779</v>
      </c>
      <c r="D768" s="179">
        <v>454</v>
      </c>
      <c r="E768" s="179">
        <v>454</v>
      </c>
      <c r="F768" s="179">
        <v>454</v>
      </c>
      <c r="G768" s="179">
        <v>454</v>
      </c>
      <c r="H768" s="85">
        <v>200</v>
      </c>
    </row>
    <row r="769" spans="1:8" x14ac:dyDescent="0.2">
      <c r="A769" t="s">
        <v>147</v>
      </c>
      <c r="B769" s="180">
        <v>45015</v>
      </c>
      <c r="C769" s="181">
        <v>0.52847222222222223</v>
      </c>
      <c r="D769" s="179">
        <v>453</v>
      </c>
      <c r="E769" s="179">
        <v>453</v>
      </c>
      <c r="F769" s="179">
        <v>453</v>
      </c>
      <c r="G769" s="179">
        <v>453</v>
      </c>
      <c r="H769" s="85">
        <v>300</v>
      </c>
    </row>
    <row r="770" spans="1:8" x14ac:dyDescent="0.2">
      <c r="A770" t="s">
        <v>147</v>
      </c>
      <c r="B770" s="180">
        <v>45015</v>
      </c>
      <c r="C770" s="181">
        <v>0.52916666666666667</v>
      </c>
      <c r="D770" s="179">
        <v>454</v>
      </c>
      <c r="E770" s="179">
        <v>454</v>
      </c>
      <c r="F770" s="179">
        <v>453</v>
      </c>
      <c r="G770" s="179">
        <v>453</v>
      </c>
      <c r="H770" s="85">
        <v>7600</v>
      </c>
    </row>
    <row r="771" spans="1:8" x14ac:dyDescent="0.2">
      <c r="A771" t="s">
        <v>147</v>
      </c>
      <c r="B771" s="180">
        <v>45015</v>
      </c>
      <c r="C771" s="181">
        <v>0.52986111111111112</v>
      </c>
      <c r="D771" s="179">
        <v>453</v>
      </c>
      <c r="E771" s="179">
        <v>453</v>
      </c>
      <c r="F771" s="179">
        <v>453</v>
      </c>
      <c r="G771" s="179">
        <v>453</v>
      </c>
      <c r="H771" s="85">
        <v>4500</v>
      </c>
    </row>
    <row r="772" spans="1:8" x14ac:dyDescent="0.2">
      <c r="A772" t="s">
        <v>147</v>
      </c>
      <c r="B772" s="180">
        <v>45015</v>
      </c>
      <c r="C772" s="181">
        <v>0.53055555555555556</v>
      </c>
      <c r="D772" s="179">
        <v>452</v>
      </c>
      <c r="E772" s="179">
        <v>452</v>
      </c>
      <c r="F772" s="179">
        <v>452</v>
      </c>
      <c r="G772" s="179">
        <v>452</v>
      </c>
      <c r="H772" s="85">
        <v>300</v>
      </c>
    </row>
    <row r="773" spans="1:8" x14ac:dyDescent="0.2">
      <c r="A773" t="s">
        <v>147</v>
      </c>
      <c r="B773" s="180">
        <v>45015</v>
      </c>
      <c r="C773" s="181">
        <v>0.53125</v>
      </c>
      <c r="D773" s="179">
        <v>452</v>
      </c>
      <c r="E773" s="179">
        <v>452</v>
      </c>
      <c r="F773" s="179">
        <v>452</v>
      </c>
      <c r="G773" s="179">
        <v>452</v>
      </c>
      <c r="H773" s="85">
        <v>4300</v>
      </c>
    </row>
    <row r="774" spans="1:8" x14ac:dyDescent="0.2">
      <c r="A774" t="s">
        <v>147</v>
      </c>
      <c r="B774" s="180">
        <v>45015</v>
      </c>
      <c r="C774" s="181">
        <v>0.53194444444444444</v>
      </c>
      <c r="D774" s="179">
        <v>451</v>
      </c>
      <c r="E774" s="179">
        <v>452</v>
      </c>
      <c r="F774" s="179">
        <v>451</v>
      </c>
      <c r="G774" s="179">
        <v>452</v>
      </c>
      <c r="H774" s="85">
        <v>1700</v>
      </c>
    </row>
    <row r="775" spans="1:8" x14ac:dyDescent="0.2">
      <c r="A775" t="s">
        <v>147</v>
      </c>
      <c r="B775" s="180">
        <v>45015</v>
      </c>
      <c r="C775" s="181">
        <v>0.53263888888888888</v>
      </c>
      <c r="D775" s="179">
        <v>452</v>
      </c>
      <c r="E775" s="179">
        <v>452</v>
      </c>
      <c r="F775" s="179">
        <v>452</v>
      </c>
      <c r="G775" s="179">
        <v>452</v>
      </c>
      <c r="H775" s="85">
        <v>600</v>
      </c>
    </row>
    <row r="776" spans="1:8" x14ac:dyDescent="0.2">
      <c r="A776" t="s">
        <v>147</v>
      </c>
      <c r="B776" s="180">
        <v>45015</v>
      </c>
      <c r="C776" s="181">
        <v>0.53333333333333333</v>
      </c>
      <c r="D776" s="179">
        <v>451</v>
      </c>
      <c r="E776" s="179">
        <v>451</v>
      </c>
      <c r="F776" s="179">
        <v>451</v>
      </c>
      <c r="G776" s="179">
        <v>451</v>
      </c>
      <c r="H776" s="85">
        <v>1200</v>
      </c>
    </row>
    <row r="777" spans="1:8" x14ac:dyDescent="0.2">
      <c r="A777" t="s">
        <v>147</v>
      </c>
      <c r="B777" s="180">
        <v>45015</v>
      </c>
      <c r="C777" s="181">
        <v>0.53402777777777777</v>
      </c>
      <c r="D777" s="179">
        <v>452</v>
      </c>
      <c r="E777" s="179">
        <v>452</v>
      </c>
      <c r="F777" s="179">
        <v>452</v>
      </c>
      <c r="G777" s="179">
        <v>452</v>
      </c>
      <c r="H777" s="85">
        <v>1000</v>
      </c>
    </row>
    <row r="778" spans="1:8" x14ac:dyDescent="0.2">
      <c r="A778" t="s">
        <v>147</v>
      </c>
      <c r="B778" s="180">
        <v>45015</v>
      </c>
      <c r="C778" s="181">
        <v>0.53472222222222221</v>
      </c>
      <c r="D778" s="179">
        <v>452</v>
      </c>
      <c r="E778" s="179">
        <v>452</v>
      </c>
      <c r="F778" s="179">
        <v>451</v>
      </c>
      <c r="G778" s="179">
        <v>451</v>
      </c>
      <c r="H778" s="85">
        <v>1400</v>
      </c>
    </row>
    <row r="779" spans="1:8" x14ac:dyDescent="0.2">
      <c r="A779" t="s">
        <v>147</v>
      </c>
      <c r="B779" s="180">
        <v>45015</v>
      </c>
      <c r="C779" s="181">
        <v>0.53541666666666665</v>
      </c>
      <c r="D779" s="179">
        <v>452</v>
      </c>
      <c r="E779" s="179">
        <v>452</v>
      </c>
      <c r="F779" s="179">
        <v>452</v>
      </c>
      <c r="G779" s="179">
        <v>452</v>
      </c>
      <c r="H779" s="85">
        <v>1700</v>
      </c>
    </row>
    <row r="780" spans="1:8" x14ac:dyDescent="0.2">
      <c r="A780" t="s">
        <v>147</v>
      </c>
      <c r="B780" s="180">
        <v>45015</v>
      </c>
      <c r="C780" s="181">
        <v>0.53611111111111109</v>
      </c>
      <c r="D780" s="179">
        <v>451</v>
      </c>
      <c r="E780" s="179">
        <v>452</v>
      </c>
      <c r="F780" s="179">
        <v>451</v>
      </c>
      <c r="G780" s="179">
        <v>451</v>
      </c>
      <c r="H780" s="85">
        <v>2400</v>
      </c>
    </row>
    <row r="781" spans="1:8" x14ac:dyDescent="0.2">
      <c r="A781" t="s">
        <v>147</v>
      </c>
      <c r="B781" s="180">
        <v>45015</v>
      </c>
      <c r="C781" s="181">
        <v>0.53680555555555554</v>
      </c>
      <c r="D781" s="179">
        <v>451</v>
      </c>
      <c r="E781" s="179">
        <v>451</v>
      </c>
      <c r="F781" s="179">
        <v>451</v>
      </c>
      <c r="G781" s="179">
        <v>451</v>
      </c>
      <c r="H781" s="85">
        <v>100</v>
      </c>
    </row>
    <row r="782" spans="1:8" x14ac:dyDescent="0.2">
      <c r="A782" t="s">
        <v>147</v>
      </c>
      <c r="B782" s="180">
        <v>45015</v>
      </c>
      <c r="C782" s="181">
        <v>0.53749999999999998</v>
      </c>
      <c r="D782" s="179">
        <v>451</v>
      </c>
      <c r="E782" s="179">
        <v>452</v>
      </c>
      <c r="F782" s="179">
        <v>451</v>
      </c>
      <c r="G782" s="179">
        <v>452</v>
      </c>
      <c r="H782" s="85">
        <v>13600</v>
      </c>
    </row>
    <row r="783" spans="1:8" x14ac:dyDescent="0.2">
      <c r="A783" t="s">
        <v>147</v>
      </c>
      <c r="B783" s="180">
        <v>45015</v>
      </c>
      <c r="C783" s="181">
        <v>0.53819444444444442</v>
      </c>
      <c r="D783" s="179">
        <v>451</v>
      </c>
      <c r="E783" s="179">
        <v>451</v>
      </c>
      <c r="F783" s="179">
        <v>451</v>
      </c>
      <c r="G783" s="179">
        <v>451</v>
      </c>
      <c r="H783" s="85">
        <v>700</v>
      </c>
    </row>
    <row r="784" spans="1:8" x14ac:dyDescent="0.2">
      <c r="A784" t="s">
        <v>147</v>
      </c>
      <c r="B784" s="180">
        <v>45015</v>
      </c>
      <c r="C784" s="181">
        <v>0.53888888888888886</v>
      </c>
      <c r="D784" s="179">
        <v>452</v>
      </c>
      <c r="E784" s="179">
        <v>452</v>
      </c>
      <c r="F784" s="179">
        <v>452</v>
      </c>
      <c r="G784" s="179">
        <v>452</v>
      </c>
      <c r="H784" s="85">
        <v>2000</v>
      </c>
    </row>
    <row r="785" spans="1:8" x14ac:dyDescent="0.2">
      <c r="A785" t="s">
        <v>147</v>
      </c>
      <c r="B785" s="180">
        <v>45015</v>
      </c>
      <c r="C785" s="181">
        <v>0.5395833333333333</v>
      </c>
      <c r="D785" s="179">
        <v>452</v>
      </c>
      <c r="E785" s="179">
        <v>452</v>
      </c>
      <c r="F785" s="179">
        <v>452</v>
      </c>
      <c r="G785" s="179">
        <v>452</v>
      </c>
      <c r="H785" s="85">
        <v>1500</v>
      </c>
    </row>
    <row r="786" spans="1:8" x14ac:dyDescent="0.2">
      <c r="A786" t="s">
        <v>147</v>
      </c>
      <c r="B786" s="180">
        <v>45015</v>
      </c>
      <c r="C786" s="181">
        <v>0.54027777777777775</v>
      </c>
      <c r="D786" s="179">
        <v>452</v>
      </c>
      <c r="E786" s="179">
        <v>452</v>
      </c>
      <c r="F786" s="179">
        <v>451</v>
      </c>
      <c r="G786" s="179">
        <v>451</v>
      </c>
      <c r="H786" s="85">
        <v>17100</v>
      </c>
    </row>
    <row r="787" spans="1:8" x14ac:dyDescent="0.2">
      <c r="A787" t="s">
        <v>147</v>
      </c>
      <c r="B787" s="180">
        <v>45015</v>
      </c>
      <c r="C787" s="181">
        <v>0.54097222222222219</v>
      </c>
      <c r="D787" s="179">
        <v>451</v>
      </c>
      <c r="E787" s="179">
        <v>451</v>
      </c>
      <c r="F787" s="179">
        <v>450</v>
      </c>
      <c r="G787" s="179">
        <v>451</v>
      </c>
      <c r="H787" s="85">
        <v>7300</v>
      </c>
    </row>
    <row r="788" spans="1:8" x14ac:dyDescent="0.2">
      <c r="A788" t="s">
        <v>147</v>
      </c>
      <c r="B788" s="180">
        <v>45015</v>
      </c>
      <c r="C788" s="181">
        <v>0.54166666666666663</v>
      </c>
      <c r="D788" s="179">
        <v>451</v>
      </c>
      <c r="E788" s="179">
        <v>451</v>
      </c>
      <c r="F788" s="179">
        <v>450</v>
      </c>
      <c r="G788" s="179">
        <v>450</v>
      </c>
      <c r="H788" s="85">
        <v>9000</v>
      </c>
    </row>
    <row r="789" spans="1:8" x14ac:dyDescent="0.2">
      <c r="A789" t="s">
        <v>147</v>
      </c>
      <c r="B789" s="180">
        <v>45015</v>
      </c>
      <c r="C789" s="181">
        <v>0.54236111111111118</v>
      </c>
      <c r="D789" s="179">
        <v>451</v>
      </c>
      <c r="E789" s="179">
        <v>451</v>
      </c>
      <c r="F789" s="179">
        <v>451</v>
      </c>
      <c r="G789" s="179">
        <v>451</v>
      </c>
      <c r="H789" s="85">
        <v>700</v>
      </c>
    </row>
    <row r="790" spans="1:8" x14ac:dyDescent="0.2">
      <c r="A790" t="s">
        <v>147</v>
      </c>
      <c r="B790" s="180">
        <v>45015</v>
      </c>
      <c r="C790" s="181">
        <v>0.54305555555555551</v>
      </c>
      <c r="D790" s="179">
        <v>451</v>
      </c>
      <c r="E790" s="179">
        <v>451</v>
      </c>
      <c r="F790" s="179">
        <v>450</v>
      </c>
      <c r="G790" s="179">
        <v>450</v>
      </c>
      <c r="H790" s="85">
        <v>15100</v>
      </c>
    </row>
    <row r="791" spans="1:8" x14ac:dyDescent="0.2">
      <c r="A791" t="s">
        <v>147</v>
      </c>
      <c r="B791" s="180">
        <v>45015</v>
      </c>
      <c r="C791" s="181">
        <v>0.54375000000000007</v>
      </c>
      <c r="D791" s="179">
        <v>451</v>
      </c>
      <c r="E791" s="179">
        <v>451</v>
      </c>
      <c r="F791" s="179">
        <v>450</v>
      </c>
      <c r="G791" s="179">
        <v>450</v>
      </c>
      <c r="H791" s="85">
        <v>9700</v>
      </c>
    </row>
    <row r="792" spans="1:8" x14ac:dyDescent="0.2">
      <c r="A792" t="s">
        <v>147</v>
      </c>
      <c r="B792" s="180">
        <v>45015</v>
      </c>
      <c r="C792" s="181">
        <v>0.5444444444444444</v>
      </c>
      <c r="D792" s="179">
        <v>451</v>
      </c>
      <c r="E792" s="179">
        <v>451</v>
      </c>
      <c r="F792" s="179">
        <v>451</v>
      </c>
      <c r="G792" s="179">
        <v>451</v>
      </c>
      <c r="H792" s="85">
        <v>6000</v>
      </c>
    </row>
    <row r="793" spans="1:8" x14ac:dyDescent="0.2">
      <c r="A793" t="s">
        <v>147</v>
      </c>
      <c r="B793" s="180">
        <v>45015</v>
      </c>
      <c r="C793" s="181">
        <v>0.54513888888888895</v>
      </c>
      <c r="D793" s="179">
        <v>451</v>
      </c>
      <c r="E793" s="179">
        <v>451</v>
      </c>
      <c r="F793" s="179">
        <v>451</v>
      </c>
      <c r="G793" s="179">
        <v>451</v>
      </c>
      <c r="H793" s="85">
        <v>1000</v>
      </c>
    </row>
    <row r="794" spans="1:8" x14ac:dyDescent="0.2">
      <c r="A794" t="s">
        <v>147</v>
      </c>
      <c r="B794" s="180">
        <v>45015</v>
      </c>
      <c r="C794" s="181">
        <v>0.54583333333333328</v>
      </c>
      <c r="D794" s="179">
        <v>451</v>
      </c>
      <c r="E794" s="179">
        <v>451</v>
      </c>
      <c r="F794" s="179">
        <v>451</v>
      </c>
      <c r="G794" s="179">
        <v>451</v>
      </c>
      <c r="H794" s="85">
        <v>6000</v>
      </c>
    </row>
    <row r="795" spans="1:8" x14ac:dyDescent="0.2">
      <c r="A795" t="s">
        <v>147</v>
      </c>
      <c r="B795" s="180">
        <v>45015</v>
      </c>
      <c r="C795" s="181">
        <v>0.54652777777777783</v>
      </c>
      <c r="D795" s="179">
        <v>451</v>
      </c>
      <c r="E795" s="179">
        <v>451</v>
      </c>
      <c r="F795" s="179">
        <v>451</v>
      </c>
      <c r="G795" s="179">
        <v>451</v>
      </c>
      <c r="H795" s="85">
        <v>1000</v>
      </c>
    </row>
    <row r="796" spans="1:8" x14ac:dyDescent="0.2">
      <c r="A796" t="s">
        <v>147</v>
      </c>
      <c r="B796" s="180">
        <v>45015</v>
      </c>
      <c r="C796" s="181">
        <v>0.54722222222222217</v>
      </c>
      <c r="D796" s="179">
        <v>451</v>
      </c>
      <c r="E796" s="179">
        <v>451</v>
      </c>
      <c r="F796" s="179">
        <v>450</v>
      </c>
      <c r="G796" s="179">
        <v>451</v>
      </c>
      <c r="H796" s="85">
        <v>9600</v>
      </c>
    </row>
    <row r="797" spans="1:8" x14ac:dyDescent="0.2">
      <c r="A797" t="s">
        <v>147</v>
      </c>
      <c r="B797" s="180">
        <v>45015</v>
      </c>
      <c r="C797" s="181">
        <v>0.54791666666666672</v>
      </c>
      <c r="D797" s="179">
        <v>452</v>
      </c>
      <c r="E797" s="179">
        <v>452</v>
      </c>
      <c r="F797" s="179">
        <v>452</v>
      </c>
      <c r="G797" s="179">
        <v>452</v>
      </c>
      <c r="H797" s="85">
        <v>1600</v>
      </c>
    </row>
    <row r="798" spans="1:8" x14ac:dyDescent="0.2">
      <c r="A798" t="s">
        <v>147</v>
      </c>
      <c r="B798" s="180">
        <v>45015</v>
      </c>
      <c r="C798" s="181">
        <v>0.54861111111111105</v>
      </c>
      <c r="D798" s="179">
        <v>452</v>
      </c>
      <c r="E798" s="179">
        <v>452</v>
      </c>
      <c r="F798" s="179">
        <v>452</v>
      </c>
      <c r="G798" s="179">
        <v>452</v>
      </c>
      <c r="H798" s="85">
        <v>400</v>
      </c>
    </row>
    <row r="799" spans="1:8" x14ac:dyDescent="0.2">
      <c r="A799" t="s">
        <v>147</v>
      </c>
      <c r="B799" s="180">
        <v>45015</v>
      </c>
      <c r="C799" s="181">
        <v>0.5493055555555556</v>
      </c>
      <c r="D799" s="179">
        <v>452</v>
      </c>
      <c r="E799" s="179">
        <v>452</v>
      </c>
      <c r="F799" s="179">
        <v>452</v>
      </c>
      <c r="G799" s="179">
        <v>452</v>
      </c>
      <c r="H799" s="85">
        <v>0</v>
      </c>
    </row>
    <row r="800" spans="1:8" x14ac:dyDescent="0.2">
      <c r="A800" t="s">
        <v>147</v>
      </c>
      <c r="B800" s="180">
        <v>45015</v>
      </c>
      <c r="C800" s="181">
        <v>0.54999999999999993</v>
      </c>
      <c r="D800" s="179">
        <v>452</v>
      </c>
      <c r="E800" s="179">
        <v>452</v>
      </c>
      <c r="F800" s="179">
        <v>452</v>
      </c>
      <c r="G800" s="179">
        <v>452</v>
      </c>
      <c r="H800" s="85">
        <v>1900</v>
      </c>
    </row>
    <row r="801" spans="1:8" x14ac:dyDescent="0.2">
      <c r="A801" t="s">
        <v>147</v>
      </c>
      <c r="B801" s="180">
        <v>45015</v>
      </c>
      <c r="C801" s="181">
        <v>0.55069444444444449</v>
      </c>
      <c r="D801" s="179">
        <v>452</v>
      </c>
      <c r="E801" s="179">
        <v>452</v>
      </c>
      <c r="F801" s="179">
        <v>451</v>
      </c>
      <c r="G801" s="179">
        <v>451</v>
      </c>
      <c r="H801" s="85">
        <v>2700</v>
      </c>
    </row>
    <row r="802" spans="1:8" x14ac:dyDescent="0.2">
      <c r="A802" t="s">
        <v>147</v>
      </c>
      <c r="B802" s="180">
        <v>45015</v>
      </c>
      <c r="C802" s="181">
        <v>0.55138888888888882</v>
      </c>
      <c r="D802" s="179">
        <v>451</v>
      </c>
      <c r="E802" s="179">
        <v>451</v>
      </c>
      <c r="F802" s="179">
        <v>451</v>
      </c>
      <c r="G802" s="179">
        <v>451</v>
      </c>
      <c r="H802" s="85">
        <v>600</v>
      </c>
    </row>
    <row r="803" spans="1:8" x14ac:dyDescent="0.2">
      <c r="A803" t="s">
        <v>147</v>
      </c>
      <c r="B803" s="180">
        <v>45015</v>
      </c>
      <c r="C803" s="181">
        <v>0.55208333333333337</v>
      </c>
      <c r="D803" s="179">
        <v>452</v>
      </c>
      <c r="E803" s="179">
        <v>452</v>
      </c>
      <c r="F803" s="179">
        <v>452</v>
      </c>
      <c r="G803" s="179">
        <v>452</v>
      </c>
      <c r="H803" s="85">
        <v>1200</v>
      </c>
    </row>
    <row r="804" spans="1:8" x14ac:dyDescent="0.2">
      <c r="A804" t="s">
        <v>147</v>
      </c>
      <c r="B804" s="180">
        <v>45015</v>
      </c>
      <c r="C804" s="181">
        <v>0.55277777777777781</v>
      </c>
      <c r="D804" s="179">
        <v>451</v>
      </c>
      <c r="E804" s="179">
        <v>451</v>
      </c>
      <c r="F804" s="179">
        <v>451</v>
      </c>
      <c r="G804" s="179">
        <v>451</v>
      </c>
      <c r="H804" s="85">
        <v>1200</v>
      </c>
    </row>
    <row r="805" spans="1:8" x14ac:dyDescent="0.2">
      <c r="A805" t="s">
        <v>147</v>
      </c>
      <c r="B805" s="180">
        <v>45015</v>
      </c>
      <c r="C805" s="181">
        <v>0.55347222222222225</v>
      </c>
      <c r="D805" s="179">
        <v>451</v>
      </c>
      <c r="E805" s="179">
        <v>451</v>
      </c>
      <c r="F805" s="179">
        <v>451</v>
      </c>
      <c r="G805" s="179">
        <v>451</v>
      </c>
      <c r="H805" s="85">
        <v>100</v>
      </c>
    </row>
    <row r="806" spans="1:8" x14ac:dyDescent="0.2">
      <c r="A806" t="s">
        <v>147</v>
      </c>
      <c r="B806" s="180">
        <v>45015</v>
      </c>
      <c r="C806" s="181">
        <v>0.5541666666666667</v>
      </c>
      <c r="D806" s="179">
        <v>451</v>
      </c>
      <c r="E806" s="179">
        <v>452</v>
      </c>
      <c r="F806" s="179">
        <v>451</v>
      </c>
      <c r="G806" s="179">
        <v>452</v>
      </c>
      <c r="H806" s="85">
        <v>1300</v>
      </c>
    </row>
    <row r="807" spans="1:8" x14ac:dyDescent="0.2">
      <c r="A807" t="s">
        <v>147</v>
      </c>
      <c r="B807" s="180">
        <v>45015</v>
      </c>
      <c r="C807" s="181">
        <v>0.55486111111111114</v>
      </c>
      <c r="D807" s="179">
        <v>451</v>
      </c>
      <c r="E807" s="179">
        <v>452</v>
      </c>
      <c r="F807" s="179">
        <v>451</v>
      </c>
      <c r="G807" s="179">
        <v>452</v>
      </c>
      <c r="H807" s="85">
        <v>3500</v>
      </c>
    </row>
    <row r="808" spans="1:8" x14ac:dyDescent="0.2">
      <c r="A808" t="s">
        <v>147</v>
      </c>
      <c r="B808" s="180">
        <v>45015</v>
      </c>
      <c r="C808" s="181">
        <v>0.55555555555555558</v>
      </c>
      <c r="D808" s="179">
        <v>452</v>
      </c>
      <c r="E808" s="179">
        <v>452</v>
      </c>
      <c r="F808" s="179">
        <v>452</v>
      </c>
      <c r="G808" s="179">
        <v>452</v>
      </c>
      <c r="H808" s="85">
        <v>0</v>
      </c>
    </row>
    <row r="809" spans="1:8" x14ac:dyDescent="0.2">
      <c r="A809" t="s">
        <v>147</v>
      </c>
      <c r="B809" s="180">
        <v>45015</v>
      </c>
      <c r="C809" s="181">
        <v>0.55625000000000002</v>
      </c>
      <c r="D809" s="179">
        <v>452</v>
      </c>
      <c r="E809" s="179">
        <v>452</v>
      </c>
      <c r="F809" s="179">
        <v>452</v>
      </c>
      <c r="G809" s="179">
        <v>452</v>
      </c>
      <c r="H809" s="85">
        <v>2500</v>
      </c>
    </row>
    <row r="810" spans="1:8" x14ac:dyDescent="0.2">
      <c r="A810" t="s">
        <v>147</v>
      </c>
      <c r="B810" s="180">
        <v>45015</v>
      </c>
      <c r="C810" s="181">
        <v>0.55694444444444446</v>
      </c>
      <c r="D810" s="179">
        <v>451</v>
      </c>
      <c r="E810" s="179">
        <v>451</v>
      </c>
      <c r="F810" s="179">
        <v>451</v>
      </c>
      <c r="G810" s="179">
        <v>451</v>
      </c>
      <c r="H810" s="85">
        <v>9300</v>
      </c>
    </row>
    <row r="811" spans="1:8" x14ac:dyDescent="0.2">
      <c r="A811" t="s">
        <v>147</v>
      </c>
      <c r="B811" s="180">
        <v>45015</v>
      </c>
      <c r="C811" s="181">
        <v>0.55763888888888891</v>
      </c>
      <c r="D811" s="179">
        <v>451</v>
      </c>
      <c r="E811" s="179">
        <v>452</v>
      </c>
      <c r="F811" s="179">
        <v>451</v>
      </c>
      <c r="G811" s="179">
        <v>452</v>
      </c>
      <c r="H811" s="85">
        <v>2100</v>
      </c>
    </row>
    <row r="812" spans="1:8" x14ac:dyDescent="0.2">
      <c r="A812" t="s">
        <v>147</v>
      </c>
      <c r="B812" s="180">
        <v>45015</v>
      </c>
      <c r="C812" s="181">
        <v>0.55833333333333335</v>
      </c>
      <c r="D812" s="179">
        <v>451</v>
      </c>
      <c r="E812" s="179">
        <v>451</v>
      </c>
      <c r="F812" s="179">
        <v>451</v>
      </c>
      <c r="G812" s="179">
        <v>451</v>
      </c>
      <c r="H812" s="85">
        <v>1500</v>
      </c>
    </row>
    <row r="813" spans="1:8" x14ac:dyDescent="0.2">
      <c r="A813" t="s">
        <v>147</v>
      </c>
      <c r="B813" s="180">
        <v>45015</v>
      </c>
      <c r="C813" s="181">
        <v>0.55902777777777779</v>
      </c>
      <c r="D813" s="179">
        <v>451</v>
      </c>
      <c r="E813" s="179">
        <v>451</v>
      </c>
      <c r="F813" s="179">
        <v>451</v>
      </c>
      <c r="G813" s="179">
        <v>451</v>
      </c>
      <c r="H813" s="85">
        <v>0</v>
      </c>
    </row>
    <row r="814" spans="1:8" x14ac:dyDescent="0.2">
      <c r="A814" t="s">
        <v>147</v>
      </c>
      <c r="B814" s="180">
        <v>45015</v>
      </c>
      <c r="C814" s="181">
        <v>0.55972222222222223</v>
      </c>
      <c r="D814" s="179">
        <v>452</v>
      </c>
      <c r="E814" s="179">
        <v>452</v>
      </c>
      <c r="F814" s="179">
        <v>452</v>
      </c>
      <c r="G814" s="179">
        <v>452</v>
      </c>
      <c r="H814" s="85">
        <v>1500</v>
      </c>
    </row>
    <row r="815" spans="1:8" x14ac:dyDescent="0.2">
      <c r="A815" t="s">
        <v>147</v>
      </c>
      <c r="B815" s="180">
        <v>45015</v>
      </c>
      <c r="C815" s="181">
        <v>0.56041666666666667</v>
      </c>
      <c r="D815" s="179">
        <v>451</v>
      </c>
      <c r="E815" s="179">
        <v>451</v>
      </c>
      <c r="F815" s="179">
        <v>451</v>
      </c>
      <c r="G815" s="179">
        <v>451</v>
      </c>
      <c r="H815" s="85">
        <v>2600</v>
      </c>
    </row>
    <row r="816" spans="1:8" x14ac:dyDescent="0.2">
      <c r="A816" t="s">
        <v>147</v>
      </c>
      <c r="B816" s="180">
        <v>45015</v>
      </c>
      <c r="C816" s="181">
        <v>0.56111111111111112</v>
      </c>
      <c r="D816" s="179">
        <v>452</v>
      </c>
      <c r="E816" s="179">
        <v>452</v>
      </c>
      <c r="F816" s="179">
        <v>452</v>
      </c>
      <c r="G816" s="179">
        <v>452</v>
      </c>
      <c r="H816" s="85">
        <v>1500</v>
      </c>
    </row>
    <row r="817" spans="1:8" x14ac:dyDescent="0.2">
      <c r="A817" t="s">
        <v>147</v>
      </c>
      <c r="B817" s="180">
        <v>45015</v>
      </c>
      <c r="C817" s="181">
        <v>0.56180555555555556</v>
      </c>
      <c r="D817" s="179">
        <v>451</v>
      </c>
      <c r="E817" s="179">
        <v>451</v>
      </c>
      <c r="F817" s="179">
        <v>451</v>
      </c>
      <c r="G817" s="179">
        <v>451</v>
      </c>
      <c r="H817" s="85">
        <v>3200</v>
      </c>
    </row>
    <row r="818" spans="1:8" x14ac:dyDescent="0.2">
      <c r="A818" t="s">
        <v>147</v>
      </c>
      <c r="B818" s="180">
        <v>45015</v>
      </c>
      <c r="C818" s="181">
        <v>0.5625</v>
      </c>
      <c r="D818" s="179">
        <v>451</v>
      </c>
      <c r="E818" s="179">
        <v>451</v>
      </c>
      <c r="F818" s="179">
        <v>451</v>
      </c>
      <c r="G818" s="179">
        <v>451</v>
      </c>
      <c r="H818" s="85">
        <v>700</v>
      </c>
    </row>
    <row r="819" spans="1:8" x14ac:dyDescent="0.2">
      <c r="A819" t="s">
        <v>147</v>
      </c>
      <c r="B819" s="180">
        <v>45015</v>
      </c>
      <c r="C819" s="181">
        <v>0.56319444444444444</v>
      </c>
      <c r="D819" s="179">
        <v>452</v>
      </c>
      <c r="E819" s="179">
        <v>452</v>
      </c>
      <c r="F819" s="179">
        <v>451</v>
      </c>
      <c r="G819" s="179">
        <v>451</v>
      </c>
      <c r="H819" s="85">
        <v>1700</v>
      </c>
    </row>
    <row r="820" spans="1:8" x14ac:dyDescent="0.2">
      <c r="A820" t="s">
        <v>147</v>
      </c>
      <c r="B820" s="180">
        <v>45015</v>
      </c>
      <c r="C820" s="181">
        <v>0.56388888888888888</v>
      </c>
      <c r="D820" s="179">
        <v>451</v>
      </c>
      <c r="E820" s="179">
        <v>451</v>
      </c>
      <c r="F820" s="179">
        <v>451</v>
      </c>
      <c r="G820" s="179">
        <v>451</v>
      </c>
      <c r="H820" s="85">
        <v>0</v>
      </c>
    </row>
    <row r="821" spans="1:8" x14ac:dyDescent="0.2">
      <c r="A821" t="s">
        <v>147</v>
      </c>
      <c r="B821" s="180">
        <v>45015</v>
      </c>
      <c r="C821" s="181">
        <v>0.56458333333333333</v>
      </c>
      <c r="D821" s="179">
        <v>451</v>
      </c>
      <c r="E821" s="179">
        <v>451</v>
      </c>
      <c r="F821" s="179">
        <v>451</v>
      </c>
      <c r="G821" s="179">
        <v>451</v>
      </c>
      <c r="H821" s="85">
        <v>2600</v>
      </c>
    </row>
    <row r="822" spans="1:8" x14ac:dyDescent="0.2">
      <c r="A822" t="s">
        <v>147</v>
      </c>
      <c r="B822" s="180">
        <v>45015</v>
      </c>
      <c r="C822" s="181">
        <v>0.56527777777777777</v>
      </c>
      <c r="D822" s="179">
        <v>451</v>
      </c>
      <c r="E822" s="179">
        <v>452</v>
      </c>
      <c r="F822" s="179">
        <v>451</v>
      </c>
      <c r="G822" s="179">
        <v>452</v>
      </c>
      <c r="H822" s="85">
        <v>1700</v>
      </c>
    </row>
    <row r="823" spans="1:8" x14ac:dyDescent="0.2">
      <c r="A823" t="s">
        <v>147</v>
      </c>
      <c r="B823" s="180">
        <v>45015</v>
      </c>
      <c r="C823" s="181">
        <v>0.56597222222222221</v>
      </c>
      <c r="D823" s="179">
        <v>452</v>
      </c>
      <c r="E823" s="179">
        <v>452</v>
      </c>
      <c r="F823" s="179">
        <v>452</v>
      </c>
      <c r="G823" s="179">
        <v>452</v>
      </c>
      <c r="H823" s="85">
        <v>0</v>
      </c>
    </row>
    <row r="824" spans="1:8" x14ac:dyDescent="0.2">
      <c r="A824" t="s">
        <v>147</v>
      </c>
      <c r="B824" s="180">
        <v>45015</v>
      </c>
      <c r="C824" s="181">
        <v>0.56666666666666665</v>
      </c>
      <c r="D824" s="179">
        <v>451</v>
      </c>
      <c r="E824" s="179">
        <v>451</v>
      </c>
      <c r="F824" s="179">
        <v>451</v>
      </c>
      <c r="G824" s="179">
        <v>451</v>
      </c>
      <c r="H824" s="85">
        <v>1600</v>
      </c>
    </row>
    <row r="825" spans="1:8" x14ac:dyDescent="0.2">
      <c r="A825" t="s">
        <v>147</v>
      </c>
      <c r="B825" s="180">
        <v>45015</v>
      </c>
      <c r="C825" s="181">
        <v>0.56736111111111109</v>
      </c>
      <c r="D825" s="179">
        <v>452</v>
      </c>
      <c r="E825" s="179">
        <v>452</v>
      </c>
      <c r="F825" s="179">
        <v>452</v>
      </c>
      <c r="G825" s="179">
        <v>452</v>
      </c>
      <c r="H825" s="85">
        <v>1600</v>
      </c>
    </row>
    <row r="826" spans="1:8" x14ac:dyDescent="0.2">
      <c r="A826" t="s">
        <v>147</v>
      </c>
      <c r="B826" s="180">
        <v>45015</v>
      </c>
      <c r="C826" s="181">
        <v>0.56805555555555554</v>
      </c>
      <c r="D826" s="179">
        <v>451</v>
      </c>
      <c r="E826" s="179">
        <v>451</v>
      </c>
      <c r="F826" s="179">
        <v>451</v>
      </c>
      <c r="G826" s="179">
        <v>451</v>
      </c>
      <c r="H826" s="85">
        <v>1600</v>
      </c>
    </row>
    <row r="827" spans="1:8" x14ac:dyDescent="0.2">
      <c r="A827" t="s">
        <v>147</v>
      </c>
      <c r="B827" s="180">
        <v>45015</v>
      </c>
      <c r="C827" s="181">
        <v>0.56874999999999998</v>
      </c>
      <c r="D827" s="179">
        <v>451</v>
      </c>
      <c r="E827" s="179">
        <v>452</v>
      </c>
      <c r="F827" s="179">
        <v>451</v>
      </c>
      <c r="G827" s="179">
        <v>452</v>
      </c>
      <c r="H827" s="85">
        <v>1500</v>
      </c>
    </row>
    <row r="828" spans="1:8" x14ac:dyDescent="0.2">
      <c r="A828" t="s">
        <v>147</v>
      </c>
      <c r="B828" s="180">
        <v>45015</v>
      </c>
      <c r="C828" s="181">
        <v>0.56944444444444442</v>
      </c>
      <c r="D828" s="179">
        <v>452</v>
      </c>
      <c r="E828" s="179">
        <v>453</v>
      </c>
      <c r="F828" s="179">
        <v>452</v>
      </c>
      <c r="G828" s="179">
        <v>453</v>
      </c>
      <c r="H828" s="85">
        <v>26500</v>
      </c>
    </row>
    <row r="829" spans="1:8" x14ac:dyDescent="0.2">
      <c r="A829" t="s">
        <v>147</v>
      </c>
      <c r="B829" s="180">
        <v>45015</v>
      </c>
      <c r="C829" s="181">
        <v>0.57013888888888886</v>
      </c>
      <c r="D829" s="179">
        <v>453</v>
      </c>
      <c r="E829" s="179">
        <v>453</v>
      </c>
      <c r="F829" s="179">
        <v>453</v>
      </c>
      <c r="G829" s="179">
        <v>453</v>
      </c>
      <c r="H829" s="85">
        <v>200</v>
      </c>
    </row>
    <row r="830" spans="1:8" x14ac:dyDescent="0.2">
      <c r="A830" t="s">
        <v>147</v>
      </c>
      <c r="B830" s="180">
        <v>45015</v>
      </c>
      <c r="C830" s="181">
        <v>0.5708333333333333</v>
      </c>
      <c r="D830" s="179">
        <v>453</v>
      </c>
      <c r="E830" s="179">
        <v>453</v>
      </c>
      <c r="F830" s="179">
        <v>453</v>
      </c>
      <c r="G830" s="179">
        <v>453</v>
      </c>
      <c r="H830" s="85">
        <v>100</v>
      </c>
    </row>
    <row r="831" spans="1:8" x14ac:dyDescent="0.2">
      <c r="A831" t="s">
        <v>147</v>
      </c>
      <c r="B831" s="180">
        <v>45015</v>
      </c>
      <c r="C831" s="181">
        <v>0.57152777777777775</v>
      </c>
      <c r="D831" s="179">
        <v>453</v>
      </c>
      <c r="E831" s="179">
        <v>453</v>
      </c>
      <c r="F831" s="179">
        <v>453</v>
      </c>
      <c r="G831" s="179">
        <v>453</v>
      </c>
      <c r="H831" s="85">
        <v>1800</v>
      </c>
    </row>
    <row r="832" spans="1:8" x14ac:dyDescent="0.2">
      <c r="A832" t="s">
        <v>147</v>
      </c>
      <c r="B832" s="180">
        <v>45015</v>
      </c>
      <c r="C832" s="181">
        <v>0.57222222222222219</v>
      </c>
      <c r="D832" s="179">
        <v>453</v>
      </c>
      <c r="E832" s="179">
        <v>453</v>
      </c>
      <c r="F832" s="179">
        <v>453</v>
      </c>
      <c r="G832" s="179">
        <v>453</v>
      </c>
      <c r="H832" s="85">
        <v>1700</v>
      </c>
    </row>
    <row r="833" spans="1:8" x14ac:dyDescent="0.2">
      <c r="A833" t="s">
        <v>147</v>
      </c>
      <c r="B833" s="180">
        <v>45015</v>
      </c>
      <c r="C833" s="181">
        <v>0.57291666666666663</v>
      </c>
      <c r="D833" s="179">
        <v>453</v>
      </c>
      <c r="E833" s="179">
        <v>453</v>
      </c>
      <c r="F833" s="179">
        <v>453</v>
      </c>
      <c r="G833" s="179">
        <v>453</v>
      </c>
      <c r="H833" s="85">
        <v>16400</v>
      </c>
    </row>
    <row r="834" spans="1:8" x14ac:dyDescent="0.2">
      <c r="A834" t="s">
        <v>147</v>
      </c>
      <c r="B834" s="180">
        <v>45015</v>
      </c>
      <c r="C834" s="181">
        <v>0.57361111111111118</v>
      </c>
      <c r="D834" s="179">
        <v>453</v>
      </c>
      <c r="E834" s="179">
        <v>454</v>
      </c>
      <c r="F834" s="179">
        <v>452</v>
      </c>
      <c r="G834" s="179">
        <v>454</v>
      </c>
      <c r="H834" s="85">
        <v>33500</v>
      </c>
    </row>
    <row r="835" spans="1:8" x14ac:dyDescent="0.2">
      <c r="A835" t="s">
        <v>147</v>
      </c>
      <c r="B835" s="180">
        <v>45015</v>
      </c>
      <c r="C835" s="181">
        <v>0.57430555555555551</v>
      </c>
      <c r="D835" s="179">
        <v>454</v>
      </c>
      <c r="E835" s="179">
        <v>454</v>
      </c>
      <c r="F835" s="179">
        <v>453</v>
      </c>
      <c r="G835" s="179">
        <v>453</v>
      </c>
      <c r="H835" s="85">
        <v>2700</v>
      </c>
    </row>
    <row r="836" spans="1:8" x14ac:dyDescent="0.2">
      <c r="A836" t="s">
        <v>147</v>
      </c>
      <c r="B836" s="180">
        <v>45015</v>
      </c>
      <c r="C836" s="181">
        <v>0.57500000000000007</v>
      </c>
      <c r="D836" s="179">
        <v>453</v>
      </c>
      <c r="E836" s="179">
        <v>453</v>
      </c>
      <c r="F836" s="179">
        <v>453</v>
      </c>
      <c r="G836" s="179">
        <v>453</v>
      </c>
      <c r="H836" s="85">
        <v>800</v>
      </c>
    </row>
    <row r="837" spans="1:8" x14ac:dyDescent="0.2">
      <c r="A837" t="s">
        <v>147</v>
      </c>
      <c r="B837" s="180">
        <v>45015</v>
      </c>
      <c r="C837" s="181">
        <v>0.5756944444444444</v>
      </c>
      <c r="D837" s="179">
        <v>453</v>
      </c>
      <c r="E837" s="179">
        <v>453</v>
      </c>
      <c r="F837" s="179">
        <v>453</v>
      </c>
      <c r="G837" s="179">
        <v>453</v>
      </c>
      <c r="H837" s="85">
        <v>1600</v>
      </c>
    </row>
    <row r="838" spans="1:8" x14ac:dyDescent="0.2">
      <c r="A838" t="s">
        <v>147</v>
      </c>
      <c r="B838" s="180">
        <v>45015</v>
      </c>
      <c r="C838" s="181">
        <v>0.57638888888888895</v>
      </c>
      <c r="D838" s="179">
        <v>453</v>
      </c>
      <c r="E838" s="179">
        <v>453</v>
      </c>
      <c r="F838" s="179">
        <v>452</v>
      </c>
      <c r="G838" s="179">
        <v>453</v>
      </c>
      <c r="H838" s="85">
        <v>26000</v>
      </c>
    </row>
    <row r="839" spans="1:8" x14ac:dyDescent="0.2">
      <c r="A839" t="s">
        <v>147</v>
      </c>
      <c r="B839" s="180">
        <v>45015</v>
      </c>
      <c r="C839" s="181">
        <v>0.57708333333333328</v>
      </c>
      <c r="D839" s="179">
        <v>452</v>
      </c>
      <c r="E839" s="179">
        <v>453</v>
      </c>
      <c r="F839" s="179">
        <v>452</v>
      </c>
      <c r="G839" s="179">
        <v>453</v>
      </c>
      <c r="H839" s="85">
        <v>7500</v>
      </c>
    </row>
    <row r="840" spans="1:8" x14ac:dyDescent="0.2">
      <c r="A840" t="s">
        <v>147</v>
      </c>
      <c r="B840" s="180">
        <v>45015</v>
      </c>
      <c r="C840" s="181">
        <v>0.57777777777777783</v>
      </c>
      <c r="D840" s="179">
        <v>453</v>
      </c>
      <c r="E840" s="179">
        <v>453</v>
      </c>
      <c r="F840" s="179">
        <v>453</v>
      </c>
      <c r="G840" s="179">
        <v>453</v>
      </c>
      <c r="H840" s="85">
        <v>2000</v>
      </c>
    </row>
    <row r="841" spans="1:8" x14ac:dyDescent="0.2">
      <c r="A841" t="s">
        <v>147</v>
      </c>
      <c r="B841" s="180">
        <v>45015</v>
      </c>
      <c r="C841" s="181">
        <v>0.57847222222222217</v>
      </c>
      <c r="D841" s="179">
        <v>453</v>
      </c>
      <c r="E841" s="179">
        <v>453</v>
      </c>
      <c r="F841" s="179">
        <v>453</v>
      </c>
      <c r="G841" s="179">
        <v>453</v>
      </c>
      <c r="H841" s="85">
        <v>0</v>
      </c>
    </row>
    <row r="842" spans="1:8" x14ac:dyDescent="0.2">
      <c r="A842" t="s">
        <v>147</v>
      </c>
      <c r="B842" s="180">
        <v>45015</v>
      </c>
      <c r="C842" s="181">
        <v>0.57916666666666672</v>
      </c>
      <c r="D842" s="179">
        <v>452</v>
      </c>
      <c r="E842" s="179">
        <v>452</v>
      </c>
      <c r="F842" s="179">
        <v>451</v>
      </c>
      <c r="G842" s="179">
        <v>451</v>
      </c>
      <c r="H842" s="85">
        <v>13200</v>
      </c>
    </row>
    <row r="843" spans="1:8" x14ac:dyDescent="0.2">
      <c r="A843" t="s">
        <v>147</v>
      </c>
      <c r="B843" s="180">
        <v>45015</v>
      </c>
      <c r="C843" s="181">
        <v>0.57986111111111105</v>
      </c>
      <c r="D843" s="179">
        <v>452</v>
      </c>
      <c r="E843" s="179">
        <v>452</v>
      </c>
      <c r="F843" s="179">
        <v>451</v>
      </c>
      <c r="G843" s="179">
        <v>451</v>
      </c>
      <c r="H843" s="85">
        <v>900</v>
      </c>
    </row>
    <row r="844" spans="1:8" x14ac:dyDescent="0.2">
      <c r="A844" t="s">
        <v>147</v>
      </c>
      <c r="B844" s="180">
        <v>45015</v>
      </c>
      <c r="C844" s="181">
        <v>0.5805555555555556</v>
      </c>
      <c r="D844" s="179">
        <v>452</v>
      </c>
      <c r="E844" s="179">
        <v>452</v>
      </c>
      <c r="F844" s="179">
        <v>452</v>
      </c>
      <c r="G844" s="179">
        <v>452</v>
      </c>
      <c r="H844" s="85">
        <v>1200</v>
      </c>
    </row>
    <row r="845" spans="1:8" x14ac:dyDescent="0.2">
      <c r="A845" t="s">
        <v>147</v>
      </c>
      <c r="B845" s="180">
        <v>45015</v>
      </c>
      <c r="C845" s="181">
        <v>0.58124999999999993</v>
      </c>
      <c r="D845" s="179">
        <v>452</v>
      </c>
      <c r="E845" s="179">
        <v>452</v>
      </c>
      <c r="F845" s="179">
        <v>451</v>
      </c>
      <c r="G845" s="179">
        <v>451</v>
      </c>
      <c r="H845" s="85">
        <v>1200</v>
      </c>
    </row>
    <row r="846" spans="1:8" x14ac:dyDescent="0.2">
      <c r="A846" t="s">
        <v>147</v>
      </c>
      <c r="B846" s="180">
        <v>45015</v>
      </c>
      <c r="C846" s="181">
        <v>0.58194444444444449</v>
      </c>
      <c r="D846" s="179">
        <v>451</v>
      </c>
      <c r="E846" s="179">
        <v>453</v>
      </c>
      <c r="F846" s="179">
        <v>451</v>
      </c>
      <c r="G846" s="179">
        <v>453</v>
      </c>
      <c r="H846" s="85">
        <v>14300</v>
      </c>
    </row>
    <row r="847" spans="1:8" x14ac:dyDescent="0.2">
      <c r="A847" t="s">
        <v>147</v>
      </c>
      <c r="B847" s="180">
        <v>45015</v>
      </c>
      <c r="C847" s="181">
        <v>0.58263888888888882</v>
      </c>
      <c r="D847" s="179">
        <v>453</v>
      </c>
      <c r="E847" s="179">
        <v>453</v>
      </c>
      <c r="F847" s="179">
        <v>453</v>
      </c>
      <c r="G847" s="179">
        <v>453</v>
      </c>
      <c r="H847" s="85">
        <v>0</v>
      </c>
    </row>
    <row r="848" spans="1:8" x14ac:dyDescent="0.2">
      <c r="A848" t="s">
        <v>147</v>
      </c>
      <c r="B848" s="180">
        <v>45015</v>
      </c>
      <c r="C848" s="181">
        <v>0.58333333333333337</v>
      </c>
      <c r="D848" s="179">
        <v>452</v>
      </c>
      <c r="E848" s="179">
        <v>452</v>
      </c>
      <c r="F848" s="179">
        <v>452</v>
      </c>
      <c r="G848" s="179">
        <v>452</v>
      </c>
      <c r="H848" s="85">
        <v>1300</v>
      </c>
    </row>
    <row r="849" spans="1:8" x14ac:dyDescent="0.2">
      <c r="A849" t="s">
        <v>147</v>
      </c>
      <c r="B849" s="180">
        <v>45015</v>
      </c>
      <c r="C849" s="181">
        <v>0.58402777777777781</v>
      </c>
      <c r="D849" s="179">
        <v>452</v>
      </c>
      <c r="E849" s="179">
        <v>453</v>
      </c>
      <c r="F849" s="179">
        <v>452</v>
      </c>
      <c r="G849" s="179">
        <v>453</v>
      </c>
      <c r="H849" s="85">
        <v>600</v>
      </c>
    </row>
    <row r="850" spans="1:8" x14ac:dyDescent="0.2">
      <c r="A850" t="s">
        <v>147</v>
      </c>
      <c r="B850" s="180">
        <v>45015</v>
      </c>
      <c r="C850" s="181">
        <v>0.58472222222222225</v>
      </c>
      <c r="D850" s="179">
        <v>453</v>
      </c>
      <c r="E850" s="179">
        <v>453</v>
      </c>
      <c r="F850" s="179">
        <v>453</v>
      </c>
      <c r="G850" s="179">
        <v>453</v>
      </c>
      <c r="H850" s="85">
        <v>2100</v>
      </c>
    </row>
    <row r="851" spans="1:8" x14ac:dyDescent="0.2">
      <c r="A851" t="s">
        <v>147</v>
      </c>
      <c r="B851" s="180">
        <v>45015</v>
      </c>
      <c r="C851" s="181">
        <v>0.5854166666666667</v>
      </c>
      <c r="D851" s="179">
        <v>453</v>
      </c>
      <c r="E851" s="179">
        <v>453</v>
      </c>
      <c r="F851" s="179">
        <v>453</v>
      </c>
      <c r="G851" s="179">
        <v>453</v>
      </c>
      <c r="H851" s="85">
        <v>0</v>
      </c>
    </row>
    <row r="852" spans="1:8" x14ac:dyDescent="0.2">
      <c r="A852" t="s">
        <v>147</v>
      </c>
      <c r="B852" s="180">
        <v>45015</v>
      </c>
      <c r="C852" s="181">
        <v>0.58611111111111114</v>
      </c>
      <c r="D852" s="179">
        <v>453</v>
      </c>
      <c r="E852" s="179">
        <v>453</v>
      </c>
      <c r="F852" s="179">
        <v>453</v>
      </c>
      <c r="G852" s="179">
        <v>453</v>
      </c>
      <c r="H852" s="85">
        <v>1900</v>
      </c>
    </row>
    <row r="853" spans="1:8" x14ac:dyDescent="0.2">
      <c r="A853" t="s">
        <v>147</v>
      </c>
      <c r="B853" s="180">
        <v>45015</v>
      </c>
      <c r="C853" s="181">
        <v>0.58680555555555558</v>
      </c>
      <c r="D853" s="179">
        <v>452</v>
      </c>
      <c r="E853" s="179">
        <v>452</v>
      </c>
      <c r="F853" s="179">
        <v>452</v>
      </c>
      <c r="G853" s="179">
        <v>452</v>
      </c>
      <c r="H853" s="85">
        <v>2200</v>
      </c>
    </row>
    <row r="854" spans="1:8" x14ac:dyDescent="0.2">
      <c r="A854" t="s">
        <v>147</v>
      </c>
      <c r="B854" s="180">
        <v>45015</v>
      </c>
      <c r="C854" s="181">
        <v>0.58750000000000002</v>
      </c>
      <c r="D854" s="179">
        <v>453</v>
      </c>
      <c r="E854" s="179">
        <v>453</v>
      </c>
      <c r="F854" s="179">
        <v>453</v>
      </c>
      <c r="G854" s="179">
        <v>453</v>
      </c>
      <c r="H854" s="85">
        <v>3900</v>
      </c>
    </row>
    <row r="855" spans="1:8" x14ac:dyDescent="0.2">
      <c r="A855" t="s">
        <v>147</v>
      </c>
      <c r="B855" s="180">
        <v>45015</v>
      </c>
      <c r="C855" s="181">
        <v>0.58819444444444446</v>
      </c>
      <c r="D855" s="179">
        <v>453</v>
      </c>
      <c r="E855" s="179">
        <v>453</v>
      </c>
      <c r="F855" s="179">
        <v>452</v>
      </c>
      <c r="G855" s="179">
        <v>452</v>
      </c>
      <c r="H855" s="85">
        <v>1100</v>
      </c>
    </row>
    <row r="856" spans="1:8" x14ac:dyDescent="0.2">
      <c r="A856" t="s">
        <v>147</v>
      </c>
      <c r="B856" s="180">
        <v>45015</v>
      </c>
      <c r="C856" s="181">
        <v>0.58888888888888891</v>
      </c>
      <c r="D856" s="179">
        <v>453</v>
      </c>
      <c r="E856" s="179">
        <v>453</v>
      </c>
      <c r="F856" s="179">
        <v>453</v>
      </c>
      <c r="G856" s="179">
        <v>453</v>
      </c>
      <c r="H856" s="85">
        <v>1900</v>
      </c>
    </row>
    <row r="857" spans="1:8" x14ac:dyDescent="0.2">
      <c r="A857" t="s">
        <v>147</v>
      </c>
      <c r="B857" s="180">
        <v>45015</v>
      </c>
      <c r="C857" s="181">
        <v>0.58958333333333335</v>
      </c>
      <c r="D857" s="179">
        <v>453</v>
      </c>
      <c r="E857" s="179">
        <v>453</v>
      </c>
      <c r="F857" s="179">
        <v>453</v>
      </c>
      <c r="G857" s="179">
        <v>453</v>
      </c>
      <c r="H857" s="85">
        <v>1000</v>
      </c>
    </row>
    <row r="858" spans="1:8" x14ac:dyDescent="0.2">
      <c r="A858" t="s">
        <v>147</v>
      </c>
      <c r="B858" s="180">
        <v>45015</v>
      </c>
      <c r="C858" s="181">
        <v>0.59027777777777779</v>
      </c>
      <c r="D858" s="179">
        <v>453</v>
      </c>
      <c r="E858" s="179">
        <v>453</v>
      </c>
      <c r="F858" s="179">
        <v>453</v>
      </c>
      <c r="G858" s="179">
        <v>453</v>
      </c>
      <c r="H858" s="85">
        <v>1600</v>
      </c>
    </row>
    <row r="859" spans="1:8" x14ac:dyDescent="0.2">
      <c r="A859" t="s">
        <v>147</v>
      </c>
      <c r="B859" s="180">
        <v>45015</v>
      </c>
      <c r="C859" s="181">
        <v>0.59097222222222223</v>
      </c>
      <c r="D859" s="179">
        <v>452</v>
      </c>
      <c r="E859" s="179">
        <v>452</v>
      </c>
      <c r="F859" s="179">
        <v>452</v>
      </c>
      <c r="G859" s="179">
        <v>452</v>
      </c>
      <c r="H859" s="85">
        <v>2100</v>
      </c>
    </row>
    <row r="860" spans="1:8" x14ac:dyDescent="0.2">
      <c r="A860" t="s">
        <v>147</v>
      </c>
      <c r="B860" s="180">
        <v>45015</v>
      </c>
      <c r="C860" s="181">
        <v>0.59166666666666667</v>
      </c>
      <c r="D860" s="179">
        <v>453</v>
      </c>
      <c r="E860" s="179">
        <v>454</v>
      </c>
      <c r="F860" s="179">
        <v>453</v>
      </c>
      <c r="G860" s="179">
        <v>453</v>
      </c>
      <c r="H860" s="85">
        <v>17100</v>
      </c>
    </row>
    <row r="861" spans="1:8" x14ac:dyDescent="0.2">
      <c r="A861" t="s">
        <v>147</v>
      </c>
      <c r="B861" s="180">
        <v>45015</v>
      </c>
      <c r="C861" s="181">
        <v>0.59236111111111112</v>
      </c>
      <c r="D861" s="179">
        <v>453</v>
      </c>
      <c r="E861" s="179">
        <v>453</v>
      </c>
      <c r="F861" s="179">
        <v>453</v>
      </c>
      <c r="G861" s="179">
        <v>453</v>
      </c>
      <c r="H861" s="85">
        <v>1500</v>
      </c>
    </row>
    <row r="862" spans="1:8" x14ac:dyDescent="0.2">
      <c r="A862" t="s">
        <v>147</v>
      </c>
      <c r="B862" s="180">
        <v>45015</v>
      </c>
      <c r="C862" s="181">
        <v>0.59305555555555556</v>
      </c>
      <c r="D862" s="179">
        <v>453</v>
      </c>
      <c r="E862" s="179">
        <v>453</v>
      </c>
      <c r="F862" s="179">
        <v>453</v>
      </c>
      <c r="G862" s="179">
        <v>453</v>
      </c>
      <c r="H862" s="85">
        <v>2700</v>
      </c>
    </row>
    <row r="863" spans="1:8" x14ac:dyDescent="0.2">
      <c r="A863" t="s">
        <v>147</v>
      </c>
      <c r="B863" s="180">
        <v>45015</v>
      </c>
      <c r="C863" s="181">
        <v>0.59375</v>
      </c>
      <c r="D863" s="179">
        <v>453</v>
      </c>
      <c r="E863" s="179">
        <v>453</v>
      </c>
      <c r="F863" s="179">
        <v>453</v>
      </c>
      <c r="G863" s="179">
        <v>453</v>
      </c>
      <c r="H863" s="85">
        <v>0</v>
      </c>
    </row>
    <row r="864" spans="1:8" x14ac:dyDescent="0.2">
      <c r="A864" t="s">
        <v>147</v>
      </c>
      <c r="B864" s="180">
        <v>45015</v>
      </c>
      <c r="C864" s="181">
        <v>0.59444444444444444</v>
      </c>
      <c r="D864" s="179">
        <v>453</v>
      </c>
      <c r="E864" s="179">
        <v>453</v>
      </c>
      <c r="F864" s="179">
        <v>453</v>
      </c>
      <c r="G864" s="179">
        <v>453</v>
      </c>
      <c r="H864" s="85">
        <v>13900</v>
      </c>
    </row>
    <row r="865" spans="1:8" x14ac:dyDescent="0.2">
      <c r="A865" t="s">
        <v>147</v>
      </c>
      <c r="B865" s="180">
        <v>45015</v>
      </c>
      <c r="C865" s="181">
        <v>0.59513888888888888</v>
      </c>
      <c r="D865" s="179">
        <v>453</v>
      </c>
      <c r="E865" s="179">
        <v>453</v>
      </c>
      <c r="F865" s="179">
        <v>453</v>
      </c>
      <c r="G865" s="179">
        <v>453</v>
      </c>
      <c r="H865" s="85">
        <v>7300</v>
      </c>
    </row>
    <row r="866" spans="1:8" x14ac:dyDescent="0.2">
      <c r="A866" t="s">
        <v>147</v>
      </c>
      <c r="B866" s="180">
        <v>45015</v>
      </c>
      <c r="C866" s="181">
        <v>0.59583333333333333</v>
      </c>
      <c r="D866" s="179">
        <v>453</v>
      </c>
      <c r="E866" s="179">
        <v>453</v>
      </c>
      <c r="F866" s="179">
        <v>453</v>
      </c>
      <c r="G866" s="179">
        <v>453</v>
      </c>
      <c r="H866" s="85">
        <v>1600</v>
      </c>
    </row>
    <row r="867" spans="1:8" x14ac:dyDescent="0.2">
      <c r="A867" t="s">
        <v>147</v>
      </c>
      <c r="B867" s="180">
        <v>45015</v>
      </c>
      <c r="C867" s="181">
        <v>0.59652777777777777</v>
      </c>
      <c r="D867" s="179">
        <v>453</v>
      </c>
      <c r="E867" s="179">
        <v>453</v>
      </c>
      <c r="F867" s="179">
        <v>453</v>
      </c>
      <c r="G867" s="179">
        <v>453</v>
      </c>
      <c r="H867" s="85">
        <v>1000</v>
      </c>
    </row>
    <row r="868" spans="1:8" x14ac:dyDescent="0.2">
      <c r="A868" t="s">
        <v>147</v>
      </c>
      <c r="B868" s="180">
        <v>45015</v>
      </c>
      <c r="C868" s="181">
        <v>0.59722222222222221</v>
      </c>
      <c r="D868" s="179">
        <v>453</v>
      </c>
      <c r="E868" s="179">
        <v>453</v>
      </c>
      <c r="F868" s="179">
        <v>453</v>
      </c>
      <c r="G868" s="179">
        <v>453</v>
      </c>
      <c r="H868" s="85">
        <v>2400</v>
      </c>
    </row>
    <row r="869" spans="1:8" x14ac:dyDescent="0.2">
      <c r="A869" t="s">
        <v>147</v>
      </c>
      <c r="B869" s="180">
        <v>45015</v>
      </c>
      <c r="C869" s="181">
        <v>0.59791666666666665</v>
      </c>
      <c r="D869" s="179">
        <v>454</v>
      </c>
      <c r="E869" s="179">
        <v>454</v>
      </c>
      <c r="F869" s="179">
        <v>454</v>
      </c>
      <c r="G869" s="179">
        <v>454</v>
      </c>
      <c r="H869" s="85">
        <v>1800</v>
      </c>
    </row>
    <row r="870" spans="1:8" x14ac:dyDescent="0.2">
      <c r="A870" t="s">
        <v>147</v>
      </c>
      <c r="B870" s="180">
        <v>45015</v>
      </c>
      <c r="C870" s="181">
        <v>0.59861111111111109</v>
      </c>
      <c r="D870" s="179">
        <v>454</v>
      </c>
      <c r="E870" s="179">
        <v>454</v>
      </c>
      <c r="F870" s="179">
        <v>454</v>
      </c>
      <c r="G870" s="179">
        <v>454</v>
      </c>
      <c r="H870" s="85">
        <v>30600</v>
      </c>
    </row>
    <row r="871" spans="1:8" x14ac:dyDescent="0.2">
      <c r="A871" t="s">
        <v>147</v>
      </c>
      <c r="B871" s="180">
        <v>45015</v>
      </c>
      <c r="C871" s="181">
        <v>0.59930555555555554</v>
      </c>
      <c r="D871" s="179">
        <v>454</v>
      </c>
      <c r="E871" s="179">
        <v>454</v>
      </c>
      <c r="F871" s="179">
        <v>453</v>
      </c>
      <c r="G871" s="179">
        <v>454</v>
      </c>
      <c r="H871" s="85">
        <v>1700</v>
      </c>
    </row>
    <row r="872" spans="1:8" x14ac:dyDescent="0.2">
      <c r="A872" t="s">
        <v>147</v>
      </c>
      <c r="B872" s="180">
        <v>45015</v>
      </c>
      <c r="C872" s="181">
        <v>0.6</v>
      </c>
      <c r="D872" s="179">
        <v>454</v>
      </c>
      <c r="E872" s="179">
        <v>454</v>
      </c>
      <c r="F872" s="179">
        <v>454</v>
      </c>
      <c r="G872" s="179">
        <v>454</v>
      </c>
      <c r="H872" s="85">
        <v>5200</v>
      </c>
    </row>
    <row r="873" spans="1:8" x14ac:dyDescent="0.2">
      <c r="A873" t="s">
        <v>147</v>
      </c>
      <c r="B873" s="180">
        <v>45015</v>
      </c>
      <c r="C873" s="181">
        <v>0.60069444444444442</v>
      </c>
      <c r="D873" s="179">
        <v>454</v>
      </c>
      <c r="E873" s="179">
        <v>454</v>
      </c>
      <c r="F873" s="179">
        <v>454</v>
      </c>
      <c r="G873" s="179">
        <v>454</v>
      </c>
      <c r="H873" s="85">
        <v>9300</v>
      </c>
    </row>
    <row r="874" spans="1:8" x14ac:dyDescent="0.2">
      <c r="A874" t="s">
        <v>147</v>
      </c>
      <c r="B874" s="180">
        <v>45015</v>
      </c>
      <c r="C874" s="181">
        <v>0.60138888888888886</v>
      </c>
      <c r="D874" s="179">
        <v>454</v>
      </c>
      <c r="E874" s="179">
        <v>454</v>
      </c>
      <c r="F874" s="179">
        <v>454</v>
      </c>
      <c r="G874" s="179">
        <v>454</v>
      </c>
      <c r="H874" s="85">
        <v>0</v>
      </c>
    </row>
    <row r="875" spans="1:8" x14ac:dyDescent="0.2">
      <c r="A875" t="s">
        <v>147</v>
      </c>
      <c r="B875" s="180">
        <v>45015</v>
      </c>
      <c r="C875" s="181">
        <v>0.6020833333333333</v>
      </c>
      <c r="D875" s="179">
        <v>454</v>
      </c>
      <c r="E875" s="179">
        <v>455</v>
      </c>
      <c r="F875" s="179">
        <v>454</v>
      </c>
      <c r="G875" s="179">
        <v>455</v>
      </c>
      <c r="H875" s="85">
        <v>19900</v>
      </c>
    </row>
    <row r="876" spans="1:8" x14ac:dyDescent="0.2">
      <c r="A876" t="s">
        <v>147</v>
      </c>
      <c r="B876" s="180">
        <v>45015</v>
      </c>
      <c r="C876" s="181">
        <v>0.60277777777777775</v>
      </c>
      <c r="D876" s="179">
        <v>455</v>
      </c>
      <c r="E876" s="179">
        <v>455</v>
      </c>
      <c r="F876" s="179">
        <v>455</v>
      </c>
      <c r="G876" s="179">
        <v>455</v>
      </c>
      <c r="H876" s="85">
        <v>15000</v>
      </c>
    </row>
    <row r="877" spans="1:8" x14ac:dyDescent="0.2">
      <c r="A877" t="s">
        <v>147</v>
      </c>
      <c r="B877" s="180">
        <v>45015</v>
      </c>
      <c r="C877" s="181">
        <v>0.60347222222222219</v>
      </c>
      <c r="D877" s="179">
        <v>455</v>
      </c>
      <c r="E877" s="179">
        <v>455</v>
      </c>
      <c r="F877" s="179">
        <v>455</v>
      </c>
      <c r="G877" s="179">
        <v>455</v>
      </c>
      <c r="H877" s="85">
        <v>1000</v>
      </c>
    </row>
    <row r="878" spans="1:8" x14ac:dyDescent="0.2">
      <c r="A878" t="s">
        <v>147</v>
      </c>
      <c r="B878" s="180">
        <v>45015</v>
      </c>
      <c r="C878" s="181">
        <v>0.60416666666666663</v>
      </c>
      <c r="D878" s="179">
        <v>455</v>
      </c>
      <c r="E878" s="179">
        <v>455</v>
      </c>
      <c r="F878" s="179">
        <v>455</v>
      </c>
      <c r="G878" s="179">
        <v>455</v>
      </c>
      <c r="H878" s="85">
        <v>3000</v>
      </c>
    </row>
    <row r="879" spans="1:8" x14ac:dyDescent="0.2">
      <c r="A879" t="s">
        <v>147</v>
      </c>
      <c r="B879" s="180">
        <v>45015</v>
      </c>
      <c r="C879" s="181">
        <v>0.60486111111111118</v>
      </c>
      <c r="D879" s="179">
        <v>455</v>
      </c>
      <c r="E879" s="179">
        <v>455</v>
      </c>
      <c r="F879" s="179">
        <v>455</v>
      </c>
      <c r="G879" s="179">
        <v>455</v>
      </c>
      <c r="H879" s="85">
        <v>12600</v>
      </c>
    </row>
    <row r="880" spans="1:8" x14ac:dyDescent="0.2">
      <c r="A880" t="s">
        <v>147</v>
      </c>
      <c r="B880" s="180">
        <v>45015</v>
      </c>
      <c r="C880" s="181">
        <v>0.60555555555555551</v>
      </c>
      <c r="D880" s="179">
        <v>455</v>
      </c>
      <c r="E880" s="179">
        <v>455</v>
      </c>
      <c r="F880" s="179">
        <v>455</v>
      </c>
      <c r="G880" s="179">
        <v>455</v>
      </c>
      <c r="H880" s="85">
        <v>3300</v>
      </c>
    </row>
    <row r="881" spans="1:8" x14ac:dyDescent="0.2">
      <c r="A881" t="s">
        <v>147</v>
      </c>
      <c r="B881" s="180">
        <v>45015</v>
      </c>
      <c r="C881" s="181">
        <v>0.60625000000000007</v>
      </c>
      <c r="D881" s="179">
        <v>455</v>
      </c>
      <c r="E881" s="179">
        <v>455</v>
      </c>
      <c r="F881" s="179">
        <v>455</v>
      </c>
      <c r="G881" s="179">
        <v>455</v>
      </c>
      <c r="H881" s="85">
        <v>25200</v>
      </c>
    </row>
    <row r="882" spans="1:8" x14ac:dyDescent="0.2">
      <c r="A882" t="s">
        <v>147</v>
      </c>
      <c r="B882" s="180">
        <v>45015</v>
      </c>
      <c r="C882" s="181">
        <v>0.6069444444444444</v>
      </c>
      <c r="D882" s="179">
        <v>456</v>
      </c>
      <c r="E882" s="179">
        <v>456</v>
      </c>
      <c r="F882" s="179">
        <v>455</v>
      </c>
      <c r="G882" s="179">
        <v>455</v>
      </c>
      <c r="H882" s="85">
        <v>300</v>
      </c>
    </row>
    <row r="883" spans="1:8" x14ac:dyDescent="0.2">
      <c r="A883" t="s">
        <v>147</v>
      </c>
      <c r="B883" s="180">
        <v>45015</v>
      </c>
      <c r="C883" s="181">
        <v>0.60763888888888895</v>
      </c>
      <c r="D883" s="179">
        <v>455</v>
      </c>
      <c r="E883" s="179">
        <v>455</v>
      </c>
      <c r="F883" s="179">
        <v>455</v>
      </c>
      <c r="G883" s="179">
        <v>455</v>
      </c>
      <c r="H883" s="85">
        <v>23600</v>
      </c>
    </row>
    <row r="884" spans="1:8" x14ac:dyDescent="0.2">
      <c r="A884" t="s">
        <v>147</v>
      </c>
      <c r="B884" s="180">
        <v>45015</v>
      </c>
      <c r="C884" s="181">
        <v>0.60833333333333328</v>
      </c>
      <c r="D884" s="179">
        <v>455</v>
      </c>
      <c r="E884" s="179">
        <v>455</v>
      </c>
      <c r="F884" s="179">
        <v>455</v>
      </c>
      <c r="G884" s="179">
        <v>455</v>
      </c>
      <c r="H884" s="85">
        <v>8600</v>
      </c>
    </row>
    <row r="885" spans="1:8" x14ac:dyDescent="0.2">
      <c r="A885" t="s">
        <v>147</v>
      </c>
      <c r="B885" s="180">
        <v>45015</v>
      </c>
      <c r="C885" s="181">
        <v>0.60902777777777783</v>
      </c>
      <c r="D885" s="179">
        <v>455</v>
      </c>
      <c r="E885" s="179">
        <v>455</v>
      </c>
      <c r="F885" s="179">
        <v>455</v>
      </c>
      <c r="G885" s="179">
        <v>455</v>
      </c>
      <c r="H885" s="85">
        <v>1500</v>
      </c>
    </row>
    <row r="886" spans="1:8" x14ac:dyDescent="0.2">
      <c r="A886" t="s">
        <v>147</v>
      </c>
      <c r="B886" s="180">
        <v>45015</v>
      </c>
      <c r="C886" s="181">
        <v>0.60972222222222217</v>
      </c>
      <c r="D886" s="179">
        <v>455</v>
      </c>
      <c r="E886" s="179">
        <v>455</v>
      </c>
      <c r="F886" s="179">
        <v>455</v>
      </c>
      <c r="G886" s="179">
        <v>455</v>
      </c>
      <c r="H886" s="85">
        <v>5100</v>
      </c>
    </row>
    <row r="887" spans="1:8" x14ac:dyDescent="0.2">
      <c r="A887" t="s">
        <v>147</v>
      </c>
      <c r="B887" s="180">
        <v>45015</v>
      </c>
      <c r="C887" s="181">
        <v>0.61041666666666672</v>
      </c>
      <c r="D887" s="179">
        <v>456</v>
      </c>
      <c r="E887" s="179">
        <v>456</v>
      </c>
      <c r="F887" s="179">
        <v>456</v>
      </c>
      <c r="G887" s="179">
        <v>456</v>
      </c>
      <c r="H887" s="85">
        <v>29700</v>
      </c>
    </row>
    <row r="888" spans="1:8" x14ac:dyDescent="0.2">
      <c r="A888" t="s">
        <v>147</v>
      </c>
      <c r="B888" s="180">
        <v>45015</v>
      </c>
      <c r="C888" s="181">
        <v>0.61111111111111105</v>
      </c>
      <c r="D888" s="179">
        <v>457</v>
      </c>
      <c r="E888" s="179">
        <v>457</v>
      </c>
      <c r="F888" s="179">
        <v>457</v>
      </c>
      <c r="G888" s="179">
        <v>457</v>
      </c>
      <c r="H888" s="85">
        <v>1200</v>
      </c>
    </row>
    <row r="889" spans="1:8" x14ac:dyDescent="0.2">
      <c r="A889" t="s">
        <v>147</v>
      </c>
      <c r="B889" s="180">
        <v>45015</v>
      </c>
      <c r="C889" s="181">
        <v>0.6118055555555556</v>
      </c>
      <c r="D889" s="179">
        <v>456</v>
      </c>
      <c r="E889" s="179">
        <v>456</v>
      </c>
      <c r="F889" s="179">
        <v>456</v>
      </c>
      <c r="G889" s="179">
        <v>456</v>
      </c>
      <c r="H889" s="85">
        <v>6500</v>
      </c>
    </row>
    <row r="890" spans="1:8" x14ac:dyDescent="0.2">
      <c r="A890" t="s">
        <v>147</v>
      </c>
      <c r="B890" s="180">
        <v>45015</v>
      </c>
      <c r="C890" s="181">
        <v>0.61249999999999993</v>
      </c>
      <c r="D890" s="179">
        <v>457</v>
      </c>
      <c r="E890" s="179">
        <v>457</v>
      </c>
      <c r="F890" s="179">
        <v>457</v>
      </c>
      <c r="G890" s="179">
        <v>457</v>
      </c>
      <c r="H890" s="85">
        <v>14600</v>
      </c>
    </row>
    <row r="891" spans="1:8" x14ac:dyDescent="0.2">
      <c r="A891" t="s">
        <v>147</v>
      </c>
      <c r="B891" s="180">
        <v>45015</v>
      </c>
      <c r="C891" s="181">
        <v>0.61319444444444449</v>
      </c>
      <c r="D891" s="179">
        <v>457</v>
      </c>
      <c r="E891" s="179">
        <v>457</v>
      </c>
      <c r="F891" s="179">
        <v>457</v>
      </c>
      <c r="G891" s="179">
        <v>457</v>
      </c>
      <c r="H891" s="85">
        <v>500</v>
      </c>
    </row>
    <row r="892" spans="1:8" x14ac:dyDescent="0.2">
      <c r="A892" t="s">
        <v>147</v>
      </c>
      <c r="B892" s="180">
        <v>45015</v>
      </c>
      <c r="C892" s="181">
        <v>0.61388888888888882</v>
      </c>
      <c r="D892" s="179">
        <v>458</v>
      </c>
      <c r="E892" s="179">
        <v>458</v>
      </c>
      <c r="F892" s="179">
        <v>457</v>
      </c>
      <c r="G892" s="179">
        <v>457</v>
      </c>
      <c r="H892" s="85">
        <v>5900</v>
      </c>
    </row>
    <row r="893" spans="1:8" x14ac:dyDescent="0.2">
      <c r="A893" t="s">
        <v>147</v>
      </c>
      <c r="B893" s="180">
        <v>45015</v>
      </c>
      <c r="C893" s="181">
        <v>0.61458333333333337</v>
      </c>
      <c r="D893" s="179">
        <v>458</v>
      </c>
      <c r="E893" s="179">
        <v>458</v>
      </c>
      <c r="F893" s="179">
        <v>457</v>
      </c>
      <c r="G893" s="179">
        <v>458</v>
      </c>
      <c r="H893" s="85">
        <v>46800</v>
      </c>
    </row>
    <row r="894" spans="1:8" x14ac:dyDescent="0.2">
      <c r="A894" t="s">
        <v>147</v>
      </c>
      <c r="B894" s="180">
        <v>45015</v>
      </c>
      <c r="C894" s="181">
        <v>0.61527777777777781</v>
      </c>
      <c r="D894" s="179">
        <v>458</v>
      </c>
      <c r="E894" s="179">
        <v>458</v>
      </c>
      <c r="F894" s="179">
        <v>457</v>
      </c>
      <c r="G894" s="179">
        <v>457</v>
      </c>
      <c r="H894" s="85">
        <v>57700</v>
      </c>
    </row>
    <row r="895" spans="1:8" x14ac:dyDescent="0.2">
      <c r="A895" t="s">
        <v>147</v>
      </c>
      <c r="B895" s="180">
        <v>45015</v>
      </c>
      <c r="C895" s="181">
        <v>0.61597222222222225</v>
      </c>
      <c r="D895" s="179">
        <v>457</v>
      </c>
      <c r="E895" s="179">
        <v>458</v>
      </c>
      <c r="F895" s="179">
        <v>457</v>
      </c>
      <c r="G895" s="179">
        <v>457</v>
      </c>
      <c r="H895" s="85">
        <v>2200</v>
      </c>
    </row>
    <row r="896" spans="1:8" x14ac:dyDescent="0.2">
      <c r="A896" t="s">
        <v>147</v>
      </c>
      <c r="B896" s="180">
        <v>45015</v>
      </c>
      <c r="C896" s="181">
        <v>0.6166666666666667</v>
      </c>
      <c r="D896" s="179">
        <v>457</v>
      </c>
      <c r="E896" s="179">
        <v>457</v>
      </c>
      <c r="F896" s="179">
        <v>457</v>
      </c>
      <c r="G896" s="179">
        <v>457</v>
      </c>
      <c r="H896" s="85">
        <v>1000</v>
      </c>
    </row>
    <row r="897" spans="1:8" x14ac:dyDescent="0.2">
      <c r="A897" t="s">
        <v>147</v>
      </c>
      <c r="B897" s="180">
        <v>45015</v>
      </c>
      <c r="C897" s="181">
        <v>0.61805555555555558</v>
      </c>
      <c r="D897" s="179">
        <v>457</v>
      </c>
      <c r="E897" s="179">
        <v>458</v>
      </c>
      <c r="F897" s="179">
        <v>457</v>
      </c>
      <c r="G897" s="179">
        <v>457</v>
      </c>
      <c r="H897" s="85">
        <v>8800</v>
      </c>
    </row>
    <row r="898" spans="1:8" x14ac:dyDescent="0.2">
      <c r="A898" t="s">
        <v>147</v>
      </c>
      <c r="B898" s="180">
        <v>45015</v>
      </c>
      <c r="C898" s="181">
        <v>0.61875000000000002</v>
      </c>
      <c r="D898" s="179">
        <v>457</v>
      </c>
      <c r="E898" s="179">
        <v>457</v>
      </c>
      <c r="F898" s="179">
        <v>457</v>
      </c>
      <c r="G898" s="179">
        <v>457</v>
      </c>
      <c r="H898" s="85">
        <v>100</v>
      </c>
    </row>
    <row r="899" spans="1:8" x14ac:dyDescent="0.2">
      <c r="A899" t="s">
        <v>147</v>
      </c>
      <c r="B899" s="180">
        <v>45015</v>
      </c>
      <c r="C899" s="181">
        <v>0.61944444444444446</v>
      </c>
      <c r="D899" s="179">
        <v>458</v>
      </c>
      <c r="E899" s="179">
        <v>458</v>
      </c>
      <c r="F899" s="179">
        <v>457</v>
      </c>
      <c r="G899" s="179">
        <v>457</v>
      </c>
      <c r="H899" s="85">
        <v>4700</v>
      </c>
    </row>
    <row r="900" spans="1:8" x14ac:dyDescent="0.2">
      <c r="A900" t="s">
        <v>147</v>
      </c>
      <c r="B900" s="180">
        <v>45015</v>
      </c>
      <c r="C900" s="181">
        <v>0.62013888888888891</v>
      </c>
      <c r="D900" s="179">
        <v>458</v>
      </c>
      <c r="E900" s="179">
        <v>458</v>
      </c>
      <c r="F900" s="179">
        <v>457</v>
      </c>
      <c r="G900" s="179">
        <v>458</v>
      </c>
      <c r="H900" s="85">
        <v>17900</v>
      </c>
    </row>
    <row r="901" spans="1:8" x14ac:dyDescent="0.2">
      <c r="A901" t="s">
        <v>147</v>
      </c>
      <c r="B901" s="180">
        <v>45015</v>
      </c>
      <c r="C901" s="181">
        <v>0.62083333333333335</v>
      </c>
      <c r="D901" s="179">
        <v>458</v>
      </c>
      <c r="E901" s="179">
        <v>458</v>
      </c>
      <c r="F901" s="179">
        <v>458</v>
      </c>
      <c r="G901" s="179">
        <v>458</v>
      </c>
      <c r="H901" s="85">
        <v>1400</v>
      </c>
    </row>
    <row r="902" spans="1:8" x14ac:dyDescent="0.2">
      <c r="A902" t="s">
        <v>147</v>
      </c>
      <c r="B902" s="180">
        <v>45015</v>
      </c>
      <c r="C902" s="181">
        <v>0.62152777777777779</v>
      </c>
      <c r="D902" s="179">
        <v>458</v>
      </c>
      <c r="E902" s="179">
        <v>459</v>
      </c>
      <c r="F902" s="179">
        <v>458</v>
      </c>
      <c r="G902" s="179">
        <v>458</v>
      </c>
      <c r="H902" s="85">
        <v>7100</v>
      </c>
    </row>
    <row r="903" spans="1:8" x14ac:dyDescent="0.2">
      <c r="A903" t="s">
        <v>147</v>
      </c>
      <c r="B903" s="180">
        <v>45015</v>
      </c>
      <c r="C903" s="181">
        <v>0.62222222222222223</v>
      </c>
      <c r="D903" s="179">
        <v>459</v>
      </c>
      <c r="E903" s="179">
        <v>459</v>
      </c>
      <c r="F903" s="179">
        <v>458</v>
      </c>
      <c r="G903" s="179">
        <v>458</v>
      </c>
      <c r="H903" s="85">
        <v>7800</v>
      </c>
    </row>
    <row r="904" spans="1:8" x14ac:dyDescent="0.2">
      <c r="A904" t="s">
        <v>147</v>
      </c>
      <c r="B904" s="180">
        <v>45015</v>
      </c>
      <c r="C904" s="181">
        <v>0.62291666666666667</v>
      </c>
      <c r="D904" s="179">
        <v>459</v>
      </c>
      <c r="E904" s="179">
        <v>459</v>
      </c>
      <c r="F904" s="179">
        <v>458</v>
      </c>
      <c r="G904" s="179">
        <v>458</v>
      </c>
      <c r="H904" s="85">
        <v>12100</v>
      </c>
    </row>
    <row r="905" spans="1:8" x14ac:dyDescent="0.2">
      <c r="A905" t="s">
        <v>147</v>
      </c>
      <c r="B905" s="180">
        <v>43878</v>
      </c>
      <c r="C905" s="181">
        <v>0.62291666666666667</v>
      </c>
      <c r="D905" s="179">
        <v>402</v>
      </c>
      <c r="E905" s="179">
        <v>402</v>
      </c>
      <c r="F905" s="179">
        <v>402</v>
      </c>
      <c r="G905" s="179">
        <v>402</v>
      </c>
      <c r="H905" s="85">
        <v>800</v>
      </c>
    </row>
    <row r="906" spans="1:8" x14ac:dyDescent="0.2">
      <c r="A906" t="s">
        <v>147</v>
      </c>
      <c r="B906" s="180">
        <v>43878</v>
      </c>
      <c r="C906" s="181">
        <v>0.62361111111111112</v>
      </c>
      <c r="D906" s="179">
        <v>402</v>
      </c>
      <c r="E906" s="179">
        <v>403</v>
      </c>
      <c r="F906" s="179">
        <v>402</v>
      </c>
      <c r="G906" s="179">
        <v>402</v>
      </c>
      <c r="H906" s="85">
        <v>10600</v>
      </c>
    </row>
    <row r="907" spans="1:8" x14ac:dyDescent="0.2">
      <c r="A907" t="s">
        <v>147</v>
      </c>
      <c r="B907" s="180">
        <v>43878</v>
      </c>
      <c r="C907" s="181">
        <v>0.62430555555555556</v>
      </c>
      <c r="D907" s="179">
        <v>402</v>
      </c>
      <c r="E907" s="179">
        <v>402</v>
      </c>
      <c r="F907" s="179">
        <v>401</v>
      </c>
      <c r="G907" s="179">
        <v>401</v>
      </c>
      <c r="H907" s="85">
        <v>28200</v>
      </c>
    </row>
    <row r="908" spans="1:8" x14ac:dyDescent="0.2">
      <c r="A908" t="s">
        <v>147</v>
      </c>
      <c r="B908" s="180">
        <v>43878</v>
      </c>
      <c r="C908" s="181">
        <v>0.625</v>
      </c>
      <c r="D908" s="179">
        <v>401</v>
      </c>
      <c r="E908" s="179">
        <v>401</v>
      </c>
      <c r="F908" s="179">
        <v>401</v>
      </c>
      <c r="G908" s="179">
        <v>401</v>
      </c>
      <c r="H908" s="85">
        <v>26400</v>
      </c>
    </row>
  </sheetData>
  <mergeCells count="2">
    <mergeCell ref="J1:K1"/>
    <mergeCell ref="A1:H1"/>
  </mergeCells>
  <phoneticPr fontId="3"/>
  <dataValidations count="4">
    <dataValidation type="list" allowBlank="1" showInputMessage="1" showErrorMessage="1" prompt="1：1分足_x000a_5：5分足_x000a_15：15分足_x000a_30：30分足_x000a_60：時足_x000a_D：日足" sqref="K4" xr:uid="{00000000-0002-0000-0200-000000000000}">
      <formula1>"1,5,15,30,60,D"</formula1>
    </dataValidation>
    <dataValidation allowBlank="1" showInputMessage="1" showErrorMessage="1" prompt="分足：_x000a_1～3（日数）を指定_x000a_日足：_x000a_1～36（月数）を指定_x000a_本数指定：0" sqref="K5" xr:uid="{00000000-0002-0000-0200-000001000000}"/>
    <dataValidation type="list" allowBlank="1" showInputMessage="1" showErrorMessage="1" prompt="D：降順_x000a_A：昇順" sqref="K6" xr:uid="{00000000-0002-0000-0200-000002000000}">
      <formula1>"D,A"</formula1>
    </dataValidation>
    <dataValidation allowBlank="1" showInputMessage="1" showErrorMessage="1" prompt="足取得期間を0にした上で指定する" sqref="K7" xr:uid="{00000000-0002-0000-0200-000003000000}"/>
  </dataValidations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1"/>
  <dimension ref="A1:N52"/>
  <sheetViews>
    <sheetView workbookViewId="0">
      <selection activeCell="N1" sqref="N1"/>
    </sheetView>
  </sheetViews>
  <sheetFormatPr defaultRowHeight="13" x14ac:dyDescent="0.2"/>
  <cols>
    <col min="4" max="4" width="9" style="85"/>
    <col min="5" max="5" width="10.26953125" style="85" bestFit="1" customWidth="1"/>
    <col min="10" max="10" width="1.81640625" customWidth="1"/>
    <col min="12" max="12" width="5.36328125" customWidth="1"/>
    <col min="13" max="13" width="3.90625" customWidth="1"/>
  </cols>
  <sheetData>
    <row r="1" spans="1:14" x14ac:dyDescent="0.2">
      <c r="A1" s="340" t="s">
        <v>35</v>
      </c>
      <c r="B1" s="341"/>
      <c r="C1" s="341"/>
      <c r="D1" s="341"/>
      <c r="E1" s="341"/>
      <c r="F1" s="341"/>
      <c r="G1" s="341"/>
      <c r="H1" s="341"/>
      <c r="I1" s="342"/>
      <c r="K1" s="338" t="s">
        <v>26</v>
      </c>
      <c r="L1" s="339"/>
      <c r="N1" t="e">
        <f>[1]!TICK($L$2,$L$3,$L$4,"約定時刻",A3)</f>
        <v>#N/A</v>
      </c>
    </row>
    <row r="2" spans="1:14" x14ac:dyDescent="0.2">
      <c r="A2" s="44" t="s">
        <v>36</v>
      </c>
      <c r="B2" s="45" t="s">
        <v>1</v>
      </c>
      <c r="C2" s="45" t="s">
        <v>37</v>
      </c>
      <c r="D2" s="182" t="s">
        <v>3</v>
      </c>
      <c r="E2" s="182" t="s">
        <v>38</v>
      </c>
      <c r="F2" s="45" t="s">
        <v>39</v>
      </c>
      <c r="G2" s="46" t="s">
        <v>40</v>
      </c>
      <c r="H2" s="45" t="s">
        <v>41</v>
      </c>
      <c r="I2" s="47" t="s">
        <v>42</v>
      </c>
      <c r="K2" s="48" t="s">
        <v>54</v>
      </c>
      <c r="L2" s="216">
        <v>8609</v>
      </c>
      <c r="M2" s="49"/>
      <c r="N2" t="e">
        <f>[1]!TICK($L$2,$L$3,$L$4,"現在値",B3)</f>
        <v>#N/A</v>
      </c>
    </row>
    <row r="3" spans="1:14" x14ac:dyDescent="0.2">
      <c r="A3" s="1" t="s">
        <v>549</v>
      </c>
      <c r="B3">
        <v>458</v>
      </c>
      <c r="C3">
        <v>-1</v>
      </c>
      <c r="D3" s="85">
        <v>2200</v>
      </c>
      <c r="E3" s="85">
        <v>2630100</v>
      </c>
      <c r="F3">
        <v>459</v>
      </c>
      <c r="G3" s="50">
        <v>0.49299999999999999</v>
      </c>
      <c r="H3">
        <v>458</v>
      </c>
      <c r="I3">
        <v>453.55180000000001</v>
      </c>
      <c r="K3" s="42" t="s">
        <v>53</v>
      </c>
      <c r="L3" s="213"/>
      <c r="M3" s="49"/>
      <c r="N3" t="e">
        <f>[1]!TICK($L$2,$L$3,$L$4,"前回比",C3)</f>
        <v>#N/A</v>
      </c>
    </row>
    <row r="4" spans="1:14" x14ac:dyDescent="0.2">
      <c r="A4" s="1" t="s">
        <v>550</v>
      </c>
      <c r="B4">
        <v>459</v>
      </c>
      <c r="C4">
        <v>1</v>
      </c>
      <c r="D4" s="85">
        <v>1000</v>
      </c>
      <c r="E4" s="85">
        <v>2627900</v>
      </c>
      <c r="F4">
        <v>459</v>
      </c>
      <c r="G4" s="50">
        <v>0.49349999999999999</v>
      </c>
      <c r="H4">
        <v>458</v>
      </c>
      <c r="I4">
        <v>453.548</v>
      </c>
      <c r="K4" s="43" t="s">
        <v>34</v>
      </c>
      <c r="L4" s="215">
        <v>50</v>
      </c>
      <c r="M4" s="49"/>
      <c r="N4" t="e">
        <f>[1]!TICK($L$2,$L$3,$L$4,"約定数量",D3)</f>
        <v>#N/A</v>
      </c>
    </row>
    <row r="5" spans="1:14" x14ac:dyDescent="0.2">
      <c r="A5" s="1" t="s">
        <v>548</v>
      </c>
      <c r="B5">
        <v>458</v>
      </c>
      <c r="C5">
        <v>-1</v>
      </c>
      <c r="D5" s="85">
        <v>1200</v>
      </c>
      <c r="E5" s="85">
        <v>2626900</v>
      </c>
      <c r="F5">
        <v>459</v>
      </c>
      <c r="G5" s="50">
        <v>0.49330000000000002</v>
      </c>
      <c r="H5">
        <v>458</v>
      </c>
      <c r="I5">
        <v>453.54599999999999</v>
      </c>
      <c r="N5" t="e">
        <f>[1]!TICK($L$2,$L$3,$L$4,"出来高",E3)</f>
        <v>#N/A</v>
      </c>
    </row>
    <row r="6" spans="1:14" x14ac:dyDescent="0.2">
      <c r="A6" s="1" t="s">
        <v>547</v>
      </c>
      <c r="B6">
        <v>459</v>
      </c>
      <c r="D6" s="85">
        <v>1300</v>
      </c>
      <c r="E6" s="85">
        <v>2625700</v>
      </c>
      <c r="F6">
        <v>459</v>
      </c>
      <c r="G6" s="50">
        <v>0.49349999999999999</v>
      </c>
      <c r="H6">
        <v>458</v>
      </c>
      <c r="I6">
        <v>453.54390000000001</v>
      </c>
      <c r="N6" t="e">
        <f>[1]!TICK($L$2,$L$3,$L$4,"売気配値",F3)</f>
        <v>#N/A</v>
      </c>
    </row>
    <row r="7" spans="1:14" x14ac:dyDescent="0.2">
      <c r="A7" s="1" t="s">
        <v>546</v>
      </c>
      <c r="B7">
        <v>459</v>
      </c>
      <c r="D7" s="85">
        <v>1000</v>
      </c>
      <c r="E7" s="85">
        <v>2624400</v>
      </c>
      <c r="F7">
        <v>459</v>
      </c>
      <c r="G7" s="50">
        <v>0.49320000000000003</v>
      </c>
      <c r="H7">
        <v>458</v>
      </c>
      <c r="I7">
        <v>453.5412</v>
      </c>
      <c r="N7" t="e">
        <f>[1]!TICK($L$2,$L$3,$L$4,"買付強度",G3)</f>
        <v>#N/A</v>
      </c>
    </row>
    <row r="8" spans="1:14" x14ac:dyDescent="0.2">
      <c r="A8" s="1" t="s">
        <v>546</v>
      </c>
      <c r="B8">
        <v>459</v>
      </c>
      <c r="D8" s="85">
        <v>500</v>
      </c>
      <c r="E8" s="85">
        <v>2623400</v>
      </c>
      <c r="F8">
        <v>459</v>
      </c>
      <c r="G8" s="50">
        <v>0.49299999999999999</v>
      </c>
      <c r="H8">
        <v>458</v>
      </c>
      <c r="I8">
        <v>453.53910000000002</v>
      </c>
      <c r="N8" t="e">
        <f>[1]!TICK($L$2,$L$3,$L$4,"買気配値",H3)</f>
        <v>#N/A</v>
      </c>
    </row>
    <row r="9" spans="1:14" x14ac:dyDescent="0.2">
      <c r="A9" s="1" t="s">
        <v>545</v>
      </c>
      <c r="B9">
        <v>459</v>
      </c>
      <c r="D9" s="85">
        <v>1700</v>
      </c>
      <c r="E9" s="85">
        <v>2622900</v>
      </c>
      <c r="F9">
        <v>459</v>
      </c>
      <c r="G9" s="50">
        <v>0.4929</v>
      </c>
      <c r="H9">
        <v>458</v>
      </c>
      <c r="I9">
        <v>453.53809999999999</v>
      </c>
      <c r="N9" t="e">
        <f>[1]!TICK($L$2,$L$3,$L$4,"VWAP",I3)</f>
        <v>#N/A</v>
      </c>
    </row>
    <row r="10" spans="1:14" x14ac:dyDescent="0.2">
      <c r="A10" s="1" t="s">
        <v>545</v>
      </c>
      <c r="B10">
        <v>459</v>
      </c>
      <c r="D10" s="85">
        <v>1500</v>
      </c>
      <c r="E10" s="85">
        <v>2621200</v>
      </c>
      <c r="F10">
        <v>459</v>
      </c>
      <c r="G10" s="50">
        <v>0.49259999999999998</v>
      </c>
      <c r="H10">
        <v>458</v>
      </c>
      <c r="I10">
        <v>453.53460000000001</v>
      </c>
    </row>
    <row r="11" spans="1:14" x14ac:dyDescent="0.2">
      <c r="A11" s="1" t="s">
        <v>544</v>
      </c>
      <c r="B11">
        <v>459</v>
      </c>
      <c r="D11" s="85">
        <v>300</v>
      </c>
      <c r="E11" s="85">
        <v>2619700</v>
      </c>
      <c r="F11">
        <v>459</v>
      </c>
      <c r="G11" s="50">
        <v>0.49230000000000002</v>
      </c>
      <c r="H11">
        <v>458</v>
      </c>
      <c r="I11">
        <v>453.53140000000002</v>
      </c>
    </row>
    <row r="12" spans="1:14" x14ac:dyDescent="0.2">
      <c r="A12" s="1" t="s">
        <v>543</v>
      </c>
      <c r="B12">
        <v>459</v>
      </c>
      <c r="C12">
        <v>1</v>
      </c>
      <c r="D12" s="85">
        <v>1400</v>
      </c>
      <c r="E12" s="85">
        <v>2619400</v>
      </c>
      <c r="F12">
        <v>459</v>
      </c>
      <c r="G12" s="50">
        <v>0.49220000000000003</v>
      </c>
      <c r="H12">
        <v>458</v>
      </c>
      <c r="I12">
        <v>453.5308</v>
      </c>
    </row>
    <row r="13" spans="1:14" x14ac:dyDescent="0.2">
      <c r="A13" s="1" t="s">
        <v>542</v>
      </c>
      <c r="B13">
        <v>458</v>
      </c>
      <c r="C13">
        <v>-1</v>
      </c>
      <c r="D13" s="85">
        <v>2200</v>
      </c>
      <c r="E13" s="85">
        <v>2618000</v>
      </c>
      <c r="F13">
        <v>459</v>
      </c>
      <c r="G13" s="50">
        <v>0.4919</v>
      </c>
      <c r="H13">
        <v>458</v>
      </c>
      <c r="I13">
        <v>453.52789999999999</v>
      </c>
    </row>
    <row r="14" spans="1:14" x14ac:dyDescent="0.2">
      <c r="A14" s="1" t="s">
        <v>541</v>
      </c>
      <c r="B14">
        <v>459</v>
      </c>
      <c r="D14" s="85">
        <v>200</v>
      </c>
      <c r="E14" s="85">
        <v>2615800</v>
      </c>
      <c r="F14">
        <v>459</v>
      </c>
      <c r="G14" s="50">
        <v>0.49230000000000002</v>
      </c>
      <c r="H14">
        <v>458</v>
      </c>
      <c r="I14">
        <v>453.52409999999998</v>
      </c>
    </row>
    <row r="15" spans="1:14" x14ac:dyDescent="0.2">
      <c r="A15" s="1" t="s">
        <v>540</v>
      </c>
      <c r="B15">
        <v>459</v>
      </c>
      <c r="D15" s="85">
        <v>2200</v>
      </c>
      <c r="E15" s="85">
        <v>2615600</v>
      </c>
      <c r="F15">
        <v>459</v>
      </c>
      <c r="G15" s="50">
        <v>0.49230000000000002</v>
      </c>
      <c r="H15">
        <v>458</v>
      </c>
      <c r="I15">
        <v>453.52370000000002</v>
      </c>
    </row>
    <row r="16" spans="1:14" x14ac:dyDescent="0.2">
      <c r="A16" s="1" t="s">
        <v>539</v>
      </c>
      <c r="B16">
        <v>459</v>
      </c>
      <c r="D16" s="85">
        <v>600</v>
      </c>
      <c r="E16" s="85">
        <v>2613400</v>
      </c>
      <c r="F16">
        <v>459</v>
      </c>
      <c r="G16" s="50">
        <v>0.49180000000000001</v>
      </c>
      <c r="H16">
        <v>458</v>
      </c>
      <c r="I16">
        <v>453.51909999999998</v>
      </c>
    </row>
    <row r="17" spans="1:9" x14ac:dyDescent="0.2">
      <c r="A17" s="1" t="s">
        <v>538</v>
      </c>
      <c r="B17">
        <v>459</v>
      </c>
      <c r="C17">
        <v>1</v>
      </c>
      <c r="D17" s="85">
        <v>2600</v>
      </c>
      <c r="E17" s="85">
        <v>2612800</v>
      </c>
      <c r="F17">
        <v>459</v>
      </c>
      <c r="G17" s="50">
        <v>0.49170000000000003</v>
      </c>
      <c r="H17">
        <v>458</v>
      </c>
      <c r="I17">
        <v>453.51780000000002</v>
      </c>
    </row>
    <row r="18" spans="1:9" x14ac:dyDescent="0.2">
      <c r="A18" s="1" t="s">
        <v>537</v>
      </c>
      <c r="B18">
        <v>458</v>
      </c>
      <c r="C18">
        <v>-1</v>
      </c>
      <c r="D18" s="85">
        <v>900</v>
      </c>
      <c r="E18" s="85">
        <v>2610200</v>
      </c>
      <c r="F18">
        <v>459</v>
      </c>
      <c r="G18" s="50">
        <v>0.49120000000000003</v>
      </c>
      <c r="H18">
        <v>458</v>
      </c>
      <c r="I18">
        <v>453.51240000000001</v>
      </c>
    </row>
    <row r="19" spans="1:9" x14ac:dyDescent="0.2">
      <c r="A19" s="1" t="s">
        <v>536</v>
      </c>
      <c r="B19">
        <v>459</v>
      </c>
      <c r="C19">
        <v>1</v>
      </c>
      <c r="D19" s="85">
        <v>400</v>
      </c>
      <c r="E19" s="85">
        <v>2609300</v>
      </c>
      <c r="F19">
        <v>459</v>
      </c>
      <c r="G19" s="50">
        <v>0.49130000000000001</v>
      </c>
      <c r="H19">
        <v>458</v>
      </c>
      <c r="I19">
        <v>453.51080000000002</v>
      </c>
    </row>
    <row r="20" spans="1:9" x14ac:dyDescent="0.2">
      <c r="A20" s="1" t="s">
        <v>536</v>
      </c>
      <c r="B20">
        <v>458</v>
      </c>
      <c r="C20">
        <v>-1</v>
      </c>
      <c r="D20" s="85">
        <v>2100</v>
      </c>
      <c r="E20" s="85">
        <v>2608900</v>
      </c>
      <c r="F20">
        <v>459</v>
      </c>
      <c r="G20" s="50">
        <v>0.49130000000000001</v>
      </c>
      <c r="H20">
        <v>458</v>
      </c>
      <c r="I20">
        <v>453.51</v>
      </c>
    </row>
    <row r="21" spans="1:9" x14ac:dyDescent="0.2">
      <c r="A21" s="1" t="s">
        <v>536</v>
      </c>
      <c r="B21">
        <v>459</v>
      </c>
      <c r="D21" s="85">
        <v>400</v>
      </c>
      <c r="E21" s="85">
        <v>2606800</v>
      </c>
      <c r="F21">
        <v>459</v>
      </c>
      <c r="G21" s="50">
        <v>0.49170000000000003</v>
      </c>
      <c r="H21">
        <v>458</v>
      </c>
      <c r="I21">
        <v>453.50639999999999</v>
      </c>
    </row>
    <row r="22" spans="1:9" x14ac:dyDescent="0.2">
      <c r="A22" s="1" t="s">
        <v>536</v>
      </c>
      <c r="B22">
        <v>459</v>
      </c>
      <c r="C22">
        <v>1</v>
      </c>
      <c r="D22" s="85">
        <v>700</v>
      </c>
      <c r="E22" s="85">
        <v>2606400</v>
      </c>
      <c r="F22">
        <v>459</v>
      </c>
      <c r="G22" s="50">
        <v>0.49159999999999998</v>
      </c>
      <c r="H22">
        <v>458</v>
      </c>
      <c r="I22">
        <v>453.50549999999998</v>
      </c>
    </row>
    <row r="23" spans="1:9" x14ac:dyDescent="0.2">
      <c r="A23" s="1" t="s">
        <v>535</v>
      </c>
      <c r="B23">
        <v>458</v>
      </c>
      <c r="D23" s="85">
        <v>2000</v>
      </c>
      <c r="E23" s="85">
        <v>2605700</v>
      </c>
      <c r="F23">
        <v>459</v>
      </c>
      <c r="G23" s="50">
        <v>0.49149999999999999</v>
      </c>
      <c r="H23">
        <v>458</v>
      </c>
      <c r="I23">
        <v>453.50400000000002</v>
      </c>
    </row>
    <row r="24" spans="1:9" x14ac:dyDescent="0.2">
      <c r="A24" s="1" t="s">
        <v>535</v>
      </c>
      <c r="B24">
        <v>458</v>
      </c>
      <c r="D24" s="85">
        <v>500</v>
      </c>
      <c r="E24" s="85">
        <v>2603700</v>
      </c>
      <c r="F24">
        <v>459</v>
      </c>
      <c r="G24" s="50">
        <v>0.4919</v>
      </c>
      <c r="H24">
        <v>458</v>
      </c>
      <c r="I24">
        <v>453.50060000000002</v>
      </c>
    </row>
    <row r="25" spans="1:9" x14ac:dyDescent="0.2">
      <c r="A25" s="1" t="s">
        <v>534</v>
      </c>
      <c r="B25">
        <v>458</v>
      </c>
      <c r="D25" s="85">
        <v>100</v>
      </c>
      <c r="E25" s="85">
        <v>2603200</v>
      </c>
      <c r="F25">
        <v>459</v>
      </c>
      <c r="G25" s="50">
        <v>0.49199999999999999</v>
      </c>
      <c r="H25">
        <v>458</v>
      </c>
      <c r="I25">
        <v>453.49970000000002</v>
      </c>
    </row>
    <row r="26" spans="1:9" x14ac:dyDescent="0.2">
      <c r="A26" s="1" t="s">
        <v>533</v>
      </c>
      <c r="B26">
        <v>458</v>
      </c>
      <c r="D26" s="85">
        <v>800</v>
      </c>
      <c r="E26" s="85">
        <v>2603100</v>
      </c>
      <c r="F26">
        <v>459</v>
      </c>
      <c r="G26" s="50">
        <v>0.49199999999999999</v>
      </c>
      <c r="H26">
        <v>458</v>
      </c>
      <c r="I26">
        <v>453.49959999999999</v>
      </c>
    </row>
    <row r="27" spans="1:9" x14ac:dyDescent="0.2">
      <c r="A27" s="1" t="s">
        <v>532</v>
      </c>
      <c r="B27">
        <v>458</v>
      </c>
      <c r="D27" s="85">
        <v>500</v>
      </c>
      <c r="E27" s="85">
        <v>2602300</v>
      </c>
      <c r="F27">
        <v>459</v>
      </c>
      <c r="G27" s="50">
        <v>0.49220000000000003</v>
      </c>
      <c r="H27">
        <v>458</v>
      </c>
      <c r="I27">
        <v>453.4982</v>
      </c>
    </row>
    <row r="28" spans="1:9" x14ac:dyDescent="0.2">
      <c r="A28" s="1" t="s">
        <v>531</v>
      </c>
      <c r="B28">
        <v>458</v>
      </c>
      <c r="D28" s="85">
        <v>100</v>
      </c>
      <c r="E28" s="85">
        <v>2601800</v>
      </c>
      <c r="F28">
        <v>459</v>
      </c>
      <c r="G28" s="50">
        <v>0.49230000000000002</v>
      </c>
      <c r="H28">
        <v>458</v>
      </c>
      <c r="I28">
        <v>453.4973</v>
      </c>
    </row>
    <row r="29" spans="1:9" x14ac:dyDescent="0.2">
      <c r="A29" s="1" t="s">
        <v>530</v>
      </c>
      <c r="B29">
        <v>458</v>
      </c>
      <c r="D29" s="85">
        <v>2800</v>
      </c>
      <c r="E29" s="85">
        <v>2601700</v>
      </c>
      <c r="F29">
        <v>459</v>
      </c>
      <c r="G29" s="50">
        <v>0.49230000000000002</v>
      </c>
      <c r="H29">
        <v>457</v>
      </c>
      <c r="I29">
        <v>453.49709999999999</v>
      </c>
    </row>
    <row r="30" spans="1:9" x14ac:dyDescent="0.2">
      <c r="A30" s="1" t="s">
        <v>530</v>
      </c>
      <c r="B30">
        <v>458</v>
      </c>
      <c r="D30" s="85">
        <v>10000</v>
      </c>
      <c r="E30" s="85">
        <v>2598900</v>
      </c>
      <c r="F30">
        <v>458</v>
      </c>
      <c r="G30" s="50">
        <v>0.49170000000000003</v>
      </c>
      <c r="H30">
        <v>457</v>
      </c>
      <c r="I30">
        <v>453.4923</v>
      </c>
    </row>
    <row r="31" spans="1:9" x14ac:dyDescent="0.2">
      <c r="A31" s="1" t="s">
        <v>529</v>
      </c>
      <c r="B31">
        <v>458</v>
      </c>
      <c r="C31">
        <v>1</v>
      </c>
      <c r="D31" s="85">
        <v>800</v>
      </c>
      <c r="E31" s="85">
        <v>2588900</v>
      </c>
      <c r="F31">
        <v>458</v>
      </c>
      <c r="G31" s="50">
        <v>0.48959999999999998</v>
      </c>
      <c r="H31">
        <v>457</v>
      </c>
      <c r="I31">
        <v>453.47489999999999</v>
      </c>
    </row>
    <row r="32" spans="1:9" x14ac:dyDescent="0.2">
      <c r="A32" s="1" t="s">
        <v>528</v>
      </c>
      <c r="B32">
        <v>457</v>
      </c>
      <c r="C32">
        <v>-1</v>
      </c>
      <c r="D32" s="85">
        <v>400</v>
      </c>
      <c r="E32" s="85">
        <v>2588100</v>
      </c>
      <c r="F32">
        <v>458</v>
      </c>
      <c r="G32" s="50">
        <v>0.4894</v>
      </c>
      <c r="H32">
        <v>457</v>
      </c>
      <c r="I32">
        <v>453.4735</v>
      </c>
    </row>
    <row r="33" spans="1:9" x14ac:dyDescent="0.2">
      <c r="A33" s="1" t="s">
        <v>527</v>
      </c>
      <c r="B33">
        <v>458</v>
      </c>
      <c r="D33" s="85">
        <v>100</v>
      </c>
      <c r="E33" s="85">
        <v>2587700</v>
      </c>
      <c r="F33">
        <v>458</v>
      </c>
      <c r="G33" s="50">
        <v>0.48949999999999999</v>
      </c>
      <c r="H33">
        <v>457</v>
      </c>
      <c r="I33">
        <v>453.47289999999998</v>
      </c>
    </row>
    <row r="34" spans="1:9" x14ac:dyDescent="0.2">
      <c r="A34" s="1" t="s">
        <v>526</v>
      </c>
      <c r="B34">
        <v>458</v>
      </c>
      <c r="C34">
        <v>1</v>
      </c>
      <c r="D34" s="85">
        <v>3800</v>
      </c>
      <c r="E34" s="85">
        <v>2587600</v>
      </c>
      <c r="F34">
        <v>458</v>
      </c>
      <c r="G34" s="50">
        <v>0.4894</v>
      </c>
      <c r="H34">
        <v>457</v>
      </c>
      <c r="I34">
        <v>453.47280000000001</v>
      </c>
    </row>
    <row r="35" spans="1:9" x14ac:dyDescent="0.2">
      <c r="A35" s="1" t="s">
        <v>525</v>
      </c>
      <c r="B35">
        <v>457</v>
      </c>
      <c r="C35">
        <v>-1</v>
      </c>
      <c r="D35" s="85">
        <v>4000</v>
      </c>
      <c r="E35" s="85">
        <v>2583800</v>
      </c>
      <c r="F35">
        <v>458</v>
      </c>
      <c r="G35" s="50">
        <v>0.48859999999999998</v>
      </c>
      <c r="H35">
        <v>457</v>
      </c>
      <c r="I35">
        <v>453.46609999999998</v>
      </c>
    </row>
    <row r="36" spans="1:9" x14ac:dyDescent="0.2">
      <c r="A36" s="1" t="s">
        <v>524</v>
      </c>
      <c r="B36">
        <v>458</v>
      </c>
      <c r="C36">
        <v>1</v>
      </c>
      <c r="D36" s="85">
        <v>700</v>
      </c>
      <c r="E36" s="85">
        <v>2579800</v>
      </c>
      <c r="F36">
        <v>458</v>
      </c>
      <c r="G36" s="50">
        <v>0.4894</v>
      </c>
      <c r="H36">
        <v>457</v>
      </c>
      <c r="I36">
        <v>453.4606</v>
      </c>
    </row>
    <row r="37" spans="1:9" x14ac:dyDescent="0.2">
      <c r="A37" s="1" t="s">
        <v>523</v>
      </c>
      <c r="B37">
        <v>457</v>
      </c>
      <c r="D37" s="85">
        <v>100</v>
      </c>
      <c r="E37" s="85">
        <v>2579100</v>
      </c>
      <c r="F37">
        <v>458</v>
      </c>
      <c r="G37" s="50">
        <v>0.48930000000000001</v>
      </c>
      <c r="H37">
        <v>457</v>
      </c>
      <c r="I37">
        <v>453.45940000000002</v>
      </c>
    </row>
    <row r="38" spans="1:9" x14ac:dyDescent="0.2">
      <c r="A38" s="1" t="s">
        <v>522</v>
      </c>
      <c r="B38">
        <v>457</v>
      </c>
      <c r="D38" s="85">
        <v>1100</v>
      </c>
      <c r="E38" s="85">
        <v>2579000</v>
      </c>
      <c r="F38">
        <v>458</v>
      </c>
      <c r="G38" s="50">
        <v>0.48930000000000001</v>
      </c>
      <c r="H38">
        <v>457</v>
      </c>
      <c r="I38">
        <v>453.45920000000001</v>
      </c>
    </row>
    <row r="39" spans="1:9" x14ac:dyDescent="0.2">
      <c r="A39" s="1" t="s">
        <v>521</v>
      </c>
      <c r="B39">
        <v>457</v>
      </c>
      <c r="C39">
        <v>-1</v>
      </c>
      <c r="D39" s="85">
        <v>4100</v>
      </c>
      <c r="E39" s="85">
        <v>2577900</v>
      </c>
      <c r="F39">
        <v>458</v>
      </c>
      <c r="G39" s="50">
        <v>0.48949999999999999</v>
      </c>
      <c r="H39">
        <v>457</v>
      </c>
      <c r="I39">
        <v>453.45769999999999</v>
      </c>
    </row>
    <row r="40" spans="1:9" x14ac:dyDescent="0.2">
      <c r="A40" s="1" t="s">
        <v>520</v>
      </c>
      <c r="B40">
        <v>458</v>
      </c>
      <c r="D40" s="85">
        <v>200</v>
      </c>
      <c r="E40" s="85">
        <v>2573800</v>
      </c>
      <c r="F40">
        <v>458</v>
      </c>
      <c r="G40" s="50">
        <v>0.4904</v>
      </c>
      <c r="H40">
        <v>457</v>
      </c>
      <c r="I40">
        <v>453.45209999999997</v>
      </c>
    </row>
    <row r="41" spans="1:9" x14ac:dyDescent="0.2">
      <c r="A41" s="1" t="s">
        <v>519</v>
      </c>
      <c r="B41">
        <v>458</v>
      </c>
      <c r="C41">
        <v>1</v>
      </c>
      <c r="D41" s="85">
        <v>1000</v>
      </c>
      <c r="E41" s="85">
        <v>2573600</v>
      </c>
      <c r="F41">
        <v>458</v>
      </c>
      <c r="G41" s="50">
        <v>0.49030000000000001</v>
      </c>
      <c r="H41">
        <v>457</v>
      </c>
      <c r="I41">
        <v>453.45170000000002</v>
      </c>
    </row>
    <row r="42" spans="1:9" x14ac:dyDescent="0.2">
      <c r="A42" s="1" t="s">
        <v>519</v>
      </c>
      <c r="B42">
        <v>457</v>
      </c>
      <c r="C42">
        <v>-1</v>
      </c>
      <c r="D42" s="85">
        <v>100</v>
      </c>
      <c r="E42" s="85">
        <v>2572600</v>
      </c>
      <c r="F42">
        <v>458</v>
      </c>
      <c r="G42" s="50">
        <v>0.49009999999999998</v>
      </c>
      <c r="H42">
        <v>457</v>
      </c>
      <c r="I42">
        <v>453.45</v>
      </c>
    </row>
    <row r="43" spans="1:9" x14ac:dyDescent="0.2">
      <c r="A43" s="1" t="s">
        <v>518</v>
      </c>
      <c r="B43">
        <v>458</v>
      </c>
      <c r="C43">
        <v>1</v>
      </c>
      <c r="D43" s="85">
        <v>500</v>
      </c>
      <c r="E43" s="85">
        <v>2572500</v>
      </c>
      <c r="F43">
        <v>458</v>
      </c>
      <c r="G43" s="50">
        <v>0.49020000000000002</v>
      </c>
      <c r="H43">
        <v>457</v>
      </c>
      <c r="I43">
        <v>453.44979999999998</v>
      </c>
    </row>
    <row r="44" spans="1:9" x14ac:dyDescent="0.2">
      <c r="A44" s="1" t="s">
        <v>517</v>
      </c>
      <c r="B44">
        <v>457</v>
      </c>
      <c r="D44" s="85">
        <v>500</v>
      </c>
      <c r="E44" s="85">
        <v>2572000</v>
      </c>
      <c r="F44">
        <v>458</v>
      </c>
      <c r="G44" s="50">
        <v>0.49</v>
      </c>
      <c r="H44">
        <v>457</v>
      </c>
      <c r="I44">
        <v>453.44900000000001</v>
      </c>
    </row>
    <row r="45" spans="1:9" x14ac:dyDescent="0.2">
      <c r="A45" s="1" t="s">
        <v>517</v>
      </c>
      <c r="B45">
        <v>457</v>
      </c>
      <c r="D45" s="85">
        <v>500</v>
      </c>
      <c r="E45" s="85">
        <v>2571500</v>
      </c>
      <c r="F45">
        <v>458</v>
      </c>
      <c r="G45" s="50">
        <v>0.49009999999999998</v>
      </c>
      <c r="H45">
        <v>457</v>
      </c>
      <c r="I45">
        <v>453.44830000000002</v>
      </c>
    </row>
    <row r="46" spans="1:9" x14ac:dyDescent="0.2">
      <c r="A46" s="1" t="s">
        <v>517</v>
      </c>
      <c r="B46">
        <v>457</v>
      </c>
      <c r="D46" s="85">
        <v>800</v>
      </c>
      <c r="E46" s="85">
        <v>2571000</v>
      </c>
      <c r="F46">
        <v>458</v>
      </c>
      <c r="G46" s="50">
        <v>0.49030000000000001</v>
      </c>
      <c r="H46">
        <v>457</v>
      </c>
      <c r="I46">
        <v>453.44760000000002</v>
      </c>
    </row>
    <row r="47" spans="1:9" x14ac:dyDescent="0.2">
      <c r="A47" s="1" t="s">
        <v>516</v>
      </c>
      <c r="B47">
        <v>457</v>
      </c>
      <c r="D47" s="85">
        <v>1000</v>
      </c>
      <c r="E47" s="85">
        <v>2570200</v>
      </c>
      <c r="F47">
        <v>458</v>
      </c>
      <c r="G47" s="50">
        <v>0.4904</v>
      </c>
      <c r="H47">
        <v>457</v>
      </c>
      <c r="I47">
        <v>453.44650000000001</v>
      </c>
    </row>
    <row r="48" spans="1:9" x14ac:dyDescent="0.2">
      <c r="A48" s="1" t="s">
        <v>515</v>
      </c>
      <c r="B48">
        <v>457</v>
      </c>
      <c r="C48">
        <v>-1</v>
      </c>
      <c r="D48" s="85">
        <v>100</v>
      </c>
      <c r="E48" s="85">
        <v>2569200</v>
      </c>
      <c r="F48">
        <v>458</v>
      </c>
      <c r="G48" s="50">
        <v>0.49059999999999998</v>
      </c>
      <c r="H48">
        <v>457</v>
      </c>
      <c r="I48">
        <v>453.44510000000002</v>
      </c>
    </row>
    <row r="49" spans="1:9" x14ac:dyDescent="0.2">
      <c r="A49" s="1" t="s">
        <v>514</v>
      </c>
      <c r="B49">
        <v>458</v>
      </c>
      <c r="C49">
        <v>1</v>
      </c>
      <c r="D49" s="85">
        <v>100</v>
      </c>
      <c r="E49" s="85">
        <v>2569100</v>
      </c>
      <c r="F49">
        <v>458</v>
      </c>
      <c r="G49" s="50">
        <v>0.49059999999999998</v>
      </c>
      <c r="H49">
        <v>457</v>
      </c>
      <c r="I49">
        <v>453.44490000000002</v>
      </c>
    </row>
    <row r="50" spans="1:9" x14ac:dyDescent="0.2">
      <c r="A50" s="1" t="s">
        <v>513</v>
      </c>
      <c r="B50">
        <v>457</v>
      </c>
      <c r="D50" s="85">
        <v>2000</v>
      </c>
      <c r="E50" s="85">
        <v>2569000</v>
      </c>
      <c r="F50">
        <v>458</v>
      </c>
      <c r="G50" s="50">
        <v>0.49059999999999998</v>
      </c>
      <c r="H50">
        <v>457</v>
      </c>
      <c r="I50">
        <v>453.44479999999999</v>
      </c>
    </row>
    <row r="51" spans="1:9" x14ac:dyDescent="0.2">
      <c r="A51" s="1" t="s">
        <v>512</v>
      </c>
      <c r="B51">
        <v>457</v>
      </c>
      <c r="C51">
        <v>-1</v>
      </c>
      <c r="D51" s="85">
        <v>2600</v>
      </c>
      <c r="E51" s="85">
        <v>2567000</v>
      </c>
      <c r="F51">
        <v>458</v>
      </c>
      <c r="G51" s="50">
        <v>0.49099999999999999</v>
      </c>
      <c r="H51">
        <v>457</v>
      </c>
      <c r="I51">
        <v>453.44200000000001</v>
      </c>
    </row>
    <row r="52" spans="1:9" x14ac:dyDescent="0.2">
      <c r="A52" s="1" t="s">
        <v>511</v>
      </c>
      <c r="B52">
        <v>458</v>
      </c>
      <c r="D52" s="85">
        <v>2600</v>
      </c>
      <c r="E52" s="85">
        <v>2564400</v>
      </c>
      <c r="F52">
        <v>459</v>
      </c>
      <c r="G52" s="50">
        <v>0.49159999999999998</v>
      </c>
      <c r="H52">
        <v>457</v>
      </c>
      <c r="I52">
        <v>453.4384</v>
      </c>
    </row>
  </sheetData>
  <mergeCells count="2">
    <mergeCell ref="K1:L1"/>
    <mergeCell ref="A1:I1"/>
  </mergeCells>
  <phoneticPr fontId="3"/>
  <dataValidations count="1">
    <dataValidation allowBlank="1" showInputMessage="1" showErrorMessage="1" prompt="足取得期間を0にした上で指定する" sqref="L4:M4" xr:uid="{00000000-0002-0000-0300-000000000000}"/>
  </dataValidations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X93"/>
  <sheetViews>
    <sheetView zoomScaleNormal="100" workbookViewId="0">
      <selection activeCell="H1" sqref="H1"/>
    </sheetView>
  </sheetViews>
  <sheetFormatPr defaultColWidth="9" defaultRowHeight="13.5" customHeight="1" x14ac:dyDescent="0.2"/>
  <cols>
    <col min="1" max="1" width="7.36328125" customWidth="1"/>
    <col min="2" max="3" width="8.453125" customWidth="1"/>
    <col min="4" max="4" width="7.26953125" customWidth="1"/>
    <col min="5" max="7" width="9.08984375" bestFit="1" customWidth="1"/>
    <col min="8" max="8" width="8.7265625" customWidth="1"/>
    <col min="9" max="9" width="12.7265625" customWidth="1"/>
    <col min="10" max="10" width="10.26953125" customWidth="1"/>
    <col min="11" max="11" width="11.08984375" bestFit="1" customWidth="1"/>
    <col min="12" max="12" width="9.08984375" bestFit="1" customWidth="1"/>
    <col min="13" max="14" width="13.08984375" bestFit="1" customWidth="1"/>
    <col min="15" max="16" width="9.08984375" bestFit="1" customWidth="1"/>
    <col min="17" max="17" width="10.453125" bestFit="1" customWidth="1"/>
    <col min="18" max="21" width="9.08984375" bestFit="1" customWidth="1"/>
    <col min="23" max="24" width="13" bestFit="1" customWidth="1"/>
  </cols>
  <sheetData>
    <row r="1" spans="1:24" ht="13.5" customHeight="1" x14ac:dyDescent="0.2">
      <c r="A1" t="e">
        <f>[1]!ORDQUERY("4",A3,A4)</f>
        <v>#N/A</v>
      </c>
      <c r="B1" t="e">
        <f>[1]!ORDQUERY("4",B3,B4)</f>
        <v>#N/A</v>
      </c>
      <c r="C1" t="e">
        <f>[1]!ORDQUERY("4",C3,C4)</f>
        <v>#N/A</v>
      </c>
      <c r="D1" t="e">
        <f>[1]!ORDQUERY("4",D3,D4)</f>
        <v>#N/A</v>
      </c>
      <c r="E1" t="e">
        <f>[1]!ORDQUERY("4",E3,E4)</f>
        <v>#N/A</v>
      </c>
      <c r="F1" t="e">
        <f>[1]!ORDQUERY("4",F3,F4)</f>
        <v>#N/A</v>
      </c>
      <c r="G1" t="e">
        <f>[1]!ORDQUERY("4",G3,G4)</f>
        <v>#N/A</v>
      </c>
      <c r="H1" t="e">
        <f>[1]!ORDQUERY("4",H3,H4)</f>
        <v>#N/A</v>
      </c>
      <c r="I1" t="e">
        <f>[1]!ORDQUERY("4",I3,I4)</f>
        <v>#N/A</v>
      </c>
      <c r="J1" t="e">
        <f>[1]!ORDQUERY("4",J3,J4)</f>
        <v>#N/A</v>
      </c>
      <c r="K1" t="e">
        <f>[1]!ORDQUERY("4",K3,K4)</f>
        <v>#N/A</v>
      </c>
      <c r="L1" t="e">
        <f>[1]!ORDQUERY("4",L3,L4)</f>
        <v>#N/A</v>
      </c>
      <c r="M1" t="e">
        <f>[1]!ORDQUERY("4",M3,M4)</f>
        <v>#N/A</v>
      </c>
      <c r="N1" t="e">
        <f>[1]!ORDQUERY("4",N3,N4)</f>
        <v>#N/A</v>
      </c>
      <c r="O1" t="e">
        <f>[1]!ORDQUERY("4",O3,O4)</f>
        <v>#N/A</v>
      </c>
      <c r="P1" t="e">
        <f>[1]!ORDQUERY("4",P3,P4)</f>
        <v>#N/A</v>
      </c>
      <c r="Q1" t="e">
        <f>[1]!ORDQUERY("4",Q3,Q4)</f>
        <v>#N/A</v>
      </c>
      <c r="R1" t="e">
        <f>[1]!ORDQUERY("4",R3,R4)</f>
        <v>#N/A</v>
      </c>
      <c r="S1" t="e">
        <f>[1]!ORDQUERY("4",S3,S4)</f>
        <v>#N/A</v>
      </c>
      <c r="T1" t="e">
        <f>[1]!ORDQUERY("4",T3,T4)</f>
        <v>#N/A</v>
      </c>
      <c r="U1" t="e">
        <f>[1]!ORDQUERY("4",U3,U4)</f>
        <v>#N/A</v>
      </c>
      <c r="V1" t="e">
        <f>[1]!ORDQUERY("4",V3,V4)</f>
        <v>#N/A</v>
      </c>
      <c r="W1" t="e">
        <f>[1]!ORDQUERY("4",W3,W4)</f>
        <v>#N/A</v>
      </c>
      <c r="X1" t="e">
        <f>[1]!ORDQUERY("4",X3,X4)</f>
        <v>#N/A</v>
      </c>
    </row>
    <row r="2" spans="1:24" ht="13.5" customHeight="1" x14ac:dyDescent="0.2">
      <c r="A2" s="289" t="s">
        <v>126</v>
      </c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</row>
    <row r="3" spans="1:24" ht="13.5" customHeight="1" x14ac:dyDescent="0.2">
      <c r="A3" s="52" t="s">
        <v>59</v>
      </c>
      <c r="B3" s="45" t="s">
        <v>88</v>
      </c>
      <c r="C3" s="45" t="s">
        <v>89</v>
      </c>
      <c r="D3" s="45" t="s">
        <v>90</v>
      </c>
      <c r="E3" s="45" t="s">
        <v>91</v>
      </c>
      <c r="F3" s="45" t="s">
        <v>92</v>
      </c>
      <c r="G3" s="45" t="s">
        <v>93</v>
      </c>
      <c r="H3" s="45" t="s">
        <v>55</v>
      </c>
      <c r="I3" s="45" t="s">
        <v>94</v>
      </c>
      <c r="J3" s="74" t="s">
        <v>95</v>
      </c>
      <c r="K3" s="45" t="s">
        <v>96</v>
      </c>
      <c r="L3" s="45" t="s">
        <v>78</v>
      </c>
      <c r="M3" s="45" t="s">
        <v>97</v>
      </c>
      <c r="N3" s="45" t="s">
        <v>98</v>
      </c>
      <c r="O3" s="45" t="s">
        <v>102</v>
      </c>
      <c r="P3" s="45" t="s">
        <v>103</v>
      </c>
      <c r="Q3" s="45" t="s">
        <v>104</v>
      </c>
      <c r="R3" s="45" t="s">
        <v>105</v>
      </c>
      <c r="S3" s="45" t="s">
        <v>106</v>
      </c>
      <c r="T3" s="45" t="s">
        <v>107</v>
      </c>
      <c r="U3" s="45" t="s">
        <v>66</v>
      </c>
      <c r="V3" s="45" t="s">
        <v>108</v>
      </c>
      <c r="W3" s="45" t="s">
        <v>109</v>
      </c>
      <c r="X3" s="45" t="s">
        <v>110</v>
      </c>
    </row>
    <row r="4" spans="1:24" ht="13.5" customHeight="1" x14ac:dyDescent="0.2">
      <c r="A4" s="53" t="s">
        <v>390</v>
      </c>
      <c r="B4" s="72" t="s">
        <v>245</v>
      </c>
      <c r="C4" s="54" t="s">
        <v>147</v>
      </c>
      <c r="D4" s="55">
        <v>458</v>
      </c>
      <c r="E4" s="54">
        <v>480</v>
      </c>
      <c r="F4" s="56">
        <v>-22</v>
      </c>
      <c r="G4" s="75">
        <v>-4.58E-2</v>
      </c>
      <c r="H4" s="55">
        <v>50</v>
      </c>
      <c r="I4" s="53" t="s">
        <v>508</v>
      </c>
      <c r="J4" s="54" t="s">
        <v>239</v>
      </c>
      <c r="K4" t="s">
        <v>360</v>
      </c>
      <c r="L4" t="s">
        <v>281</v>
      </c>
      <c r="N4" t="s">
        <v>246</v>
      </c>
      <c r="O4" s="1" t="s">
        <v>510</v>
      </c>
      <c r="P4" t="s">
        <v>244</v>
      </c>
      <c r="Q4" s="1" t="s">
        <v>506</v>
      </c>
      <c r="R4">
        <v>100</v>
      </c>
      <c r="S4">
        <v>0</v>
      </c>
      <c r="T4">
        <v>0</v>
      </c>
      <c r="U4" t="s">
        <v>242</v>
      </c>
      <c r="V4">
        <v>400</v>
      </c>
      <c r="W4" t="s">
        <v>289</v>
      </c>
      <c r="X4" t="s">
        <v>289</v>
      </c>
    </row>
    <row r="5" spans="1:24" ht="13.5" customHeight="1" x14ac:dyDescent="0.2">
      <c r="A5" s="1" t="s">
        <v>390</v>
      </c>
      <c r="B5" s="73" t="s">
        <v>245</v>
      </c>
      <c r="C5" s="57" t="s">
        <v>147</v>
      </c>
      <c r="D5">
        <v>458</v>
      </c>
      <c r="E5" s="57">
        <v>480</v>
      </c>
      <c r="F5" s="58">
        <v>-22</v>
      </c>
      <c r="G5" s="50">
        <v>-4.58E-2</v>
      </c>
      <c r="H5">
        <v>49</v>
      </c>
      <c r="I5" s="1" t="s">
        <v>508</v>
      </c>
      <c r="J5" s="57" t="s">
        <v>239</v>
      </c>
      <c r="K5" t="s">
        <v>360</v>
      </c>
      <c r="L5" t="s">
        <v>281</v>
      </c>
      <c r="N5" t="s">
        <v>246</v>
      </c>
      <c r="O5" s="1" t="s">
        <v>509</v>
      </c>
      <c r="P5" t="s">
        <v>244</v>
      </c>
      <c r="Q5" s="1" t="s">
        <v>506</v>
      </c>
      <c r="R5">
        <v>100</v>
      </c>
      <c r="S5">
        <v>0</v>
      </c>
      <c r="T5">
        <v>0</v>
      </c>
      <c r="U5" t="s">
        <v>242</v>
      </c>
      <c r="V5">
        <v>400</v>
      </c>
      <c r="W5" t="s">
        <v>289</v>
      </c>
      <c r="X5" t="s">
        <v>289</v>
      </c>
    </row>
    <row r="6" spans="1:24" ht="13.5" customHeight="1" x14ac:dyDescent="0.2">
      <c r="A6" s="1" t="s">
        <v>390</v>
      </c>
      <c r="B6" s="73" t="s">
        <v>245</v>
      </c>
      <c r="C6" s="57" t="s">
        <v>147</v>
      </c>
      <c r="D6">
        <v>458</v>
      </c>
      <c r="E6" s="57">
        <v>480</v>
      </c>
      <c r="F6" s="58">
        <v>-22</v>
      </c>
      <c r="G6" s="50">
        <v>-4.58E-2</v>
      </c>
      <c r="H6">
        <v>48</v>
      </c>
      <c r="I6" s="1" t="s">
        <v>508</v>
      </c>
      <c r="J6" s="57" t="s">
        <v>239</v>
      </c>
      <c r="K6" t="s">
        <v>360</v>
      </c>
      <c r="L6" t="s">
        <v>281</v>
      </c>
      <c r="N6" t="s">
        <v>246</v>
      </c>
      <c r="O6" s="1" t="s">
        <v>507</v>
      </c>
      <c r="P6" t="s">
        <v>244</v>
      </c>
      <c r="Q6" s="1" t="s">
        <v>506</v>
      </c>
      <c r="R6">
        <v>100</v>
      </c>
      <c r="S6">
        <v>0</v>
      </c>
      <c r="T6">
        <v>0</v>
      </c>
      <c r="U6" t="s">
        <v>242</v>
      </c>
      <c r="V6">
        <v>400</v>
      </c>
      <c r="W6" t="s">
        <v>289</v>
      </c>
      <c r="X6" t="s">
        <v>289</v>
      </c>
    </row>
    <row r="7" spans="1:24" ht="13.5" customHeight="1" x14ac:dyDescent="0.2">
      <c r="A7" s="1" t="s">
        <v>237</v>
      </c>
      <c r="B7" s="73" t="s">
        <v>237</v>
      </c>
      <c r="C7" s="57" t="s">
        <v>237</v>
      </c>
      <c r="D7" t="s">
        <v>163</v>
      </c>
      <c r="E7" s="57" t="s">
        <v>163</v>
      </c>
      <c r="F7" s="58" t="s">
        <v>163</v>
      </c>
      <c r="G7" s="50" t="s">
        <v>163</v>
      </c>
      <c r="H7" t="s">
        <v>163</v>
      </c>
      <c r="I7" s="1" t="s">
        <v>237</v>
      </c>
      <c r="J7" s="57" t="s">
        <v>237</v>
      </c>
      <c r="K7" t="s">
        <v>237</v>
      </c>
      <c r="L7" t="s">
        <v>237</v>
      </c>
      <c r="M7" t="s">
        <v>163</v>
      </c>
      <c r="N7" t="s">
        <v>237</v>
      </c>
      <c r="O7" s="1" t="s">
        <v>237</v>
      </c>
      <c r="P7" t="s">
        <v>237</v>
      </c>
      <c r="Q7" s="1" t="s">
        <v>237</v>
      </c>
      <c r="R7" t="s">
        <v>163</v>
      </c>
      <c r="S7" t="s">
        <v>163</v>
      </c>
      <c r="T7" t="s">
        <v>163</v>
      </c>
      <c r="U7" t="s">
        <v>237</v>
      </c>
      <c r="V7" t="s">
        <v>163</v>
      </c>
      <c r="W7" t="s">
        <v>237</v>
      </c>
      <c r="X7" t="s">
        <v>237</v>
      </c>
    </row>
    <row r="8" spans="1:24" ht="13.5" customHeight="1" x14ac:dyDescent="0.2">
      <c r="A8" s="1" t="s">
        <v>390</v>
      </c>
      <c r="B8" s="73" t="s">
        <v>370</v>
      </c>
      <c r="C8" s="57" t="s">
        <v>384</v>
      </c>
      <c r="D8">
        <v>389</v>
      </c>
      <c r="E8" s="57">
        <v>392</v>
      </c>
      <c r="F8" s="58">
        <v>-3</v>
      </c>
      <c r="G8" s="50">
        <v>-7.7000000000000002E-3</v>
      </c>
      <c r="H8">
        <v>6268</v>
      </c>
      <c r="I8" s="1" t="s">
        <v>356</v>
      </c>
      <c r="J8" s="57" t="s">
        <v>400</v>
      </c>
      <c r="K8" t="s">
        <v>369</v>
      </c>
      <c r="L8" t="s">
        <v>375</v>
      </c>
      <c r="N8" t="s">
        <v>314</v>
      </c>
      <c r="O8" s="102" t="s">
        <v>363</v>
      </c>
      <c r="P8" t="s">
        <v>359</v>
      </c>
      <c r="Q8" s="101">
        <v>44547</v>
      </c>
      <c r="R8">
        <v>100</v>
      </c>
      <c r="S8">
        <v>100</v>
      </c>
      <c r="T8">
        <v>0</v>
      </c>
      <c r="U8" t="s">
        <v>404</v>
      </c>
      <c r="W8" t="s">
        <v>425</v>
      </c>
      <c r="X8" t="s">
        <v>391</v>
      </c>
    </row>
    <row r="9" spans="1:24" ht="13.5" customHeight="1" x14ac:dyDescent="0.2">
      <c r="A9" s="1" t="s">
        <v>390</v>
      </c>
      <c r="B9" s="73" t="s">
        <v>286</v>
      </c>
      <c r="C9" s="57" t="s">
        <v>283</v>
      </c>
      <c r="D9">
        <v>389</v>
      </c>
      <c r="E9" s="57">
        <v>392</v>
      </c>
      <c r="F9" s="58">
        <v>-3</v>
      </c>
      <c r="G9" s="50">
        <v>-7.7000000000000002E-3</v>
      </c>
      <c r="H9">
        <v>6267</v>
      </c>
      <c r="I9" s="1" t="s">
        <v>401</v>
      </c>
      <c r="J9" s="57" t="s">
        <v>401</v>
      </c>
      <c r="K9" t="s">
        <v>386</v>
      </c>
      <c r="N9" t="s">
        <v>374</v>
      </c>
      <c r="O9" s="102" t="s">
        <v>416</v>
      </c>
      <c r="P9" t="s">
        <v>405</v>
      </c>
      <c r="Q9" s="101">
        <v>44547</v>
      </c>
      <c r="R9">
        <v>100</v>
      </c>
      <c r="S9">
        <v>100</v>
      </c>
      <c r="T9">
        <v>0</v>
      </c>
      <c r="U9" t="s">
        <v>404</v>
      </c>
      <c r="W9" t="s">
        <v>391</v>
      </c>
      <c r="X9" t="s">
        <v>391</v>
      </c>
    </row>
    <row r="10" spans="1:24" ht="13.5" customHeight="1" x14ac:dyDescent="0.2">
      <c r="A10" s="1" t="s">
        <v>390</v>
      </c>
      <c r="B10" s="73" t="s">
        <v>370</v>
      </c>
      <c r="C10" s="57" t="s">
        <v>283</v>
      </c>
      <c r="D10">
        <v>389</v>
      </c>
      <c r="E10" s="57">
        <v>392</v>
      </c>
      <c r="F10" s="58">
        <v>-3</v>
      </c>
      <c r="G10" s="50">
        <v>-7.7000000000000002E-3</v>
      </c>
      <c r="H10">
        <v>6266</v>
      </c>
      <c r="I10" s="1" t="s">
        <v>402</v>
      </c>
      <c r="J10" s="57" t="s">
        <v>313</v>
      </c>
      <c r="K10" t="s">
        <v>368</v>
      </c>
      <c r="L10" t="s">
        <v>361</v>
      </c>
      <c r="M10">
        <v>350</v>
      </c>
      <c r="N10" t="s">
        <v>314</v>
      </c>
      <c r="O10" s="102" t="s">
        <v>398</v>
      </c>
      <c r="P10" t="s">
        <v>405</v>
      </c>
      <c r="Q10" s="101">
        <v>44547</v>
      </c>
      <c r="R10">
        <v>100</v>
      </c>
      <c r="S10">
        <v>0</v>
      </c>
      <c r="T10">
        <v>100</v>
      </c>
      <c r="U10" t="s">
        <v>404</v>
      </c>
      <c r="W10" t="s">
        <v>392</v>
      </c>
      <c r="X10" t="s">
        <v>392</v>
      </c>
    </row>
    <row r="11" spans="1:24" ht="13.5" customHeight="1" x14ac:dyDescent="0.2">
      <c r="A11" s="1" t="s">
        <v>390</v>
      </c>
      <c r="B11" s="73" t="s">
        <v>370</v>
      </c>
      <c r="C11" s="57" t="s">
        <v>283</v>
      </c>
      <c r="D11">
        <v>389</v>
      </c>
      <c r="E11" s="57">
        <v>392</v>
      </c>
      <c r="F11" s="58">
        <v>-3</v>
      </c>
      <c r="G11" s="50">
        <v>-7.7000000000000002E-3</v>
      </c>
      <c r="H11">
        <v>6265</v>
      </c>
      <c r="I11" s="1" t="s">
        <v>315</v>
      </c>
      <c r="J11" s="57" t="s">
        <v>278</v>
      </c>
      <c r="K11" t="s">
        <v>368</v>
      </c>
      <c r="L11" t="s">
        <v>361</v>
      </c>
      <c r="M11">
        <v>390</v>
      </c>
      <c r="N11" t="s">
        <v>280</v>
      </c>
      <c r="O11" s="102" t="s">
        <v>417</v>
      </c>
      <c r="P11" t="s">
        <v>359</v>
      </c>
      <c r="Q11" s="101">
        <v>44547</v>
      </c>
      <c r="R11">
        <v>100</v>
      </c>
      <c r="S11">
        <v>0</v>
      </c>
      <c r="T11">
        <v>100</v>
      </c>
      <c r="U11" t="s">
        <v>404</v>
      </c>
      <c r="W11" t="s">
        <v>426</v>
      </c>
      <c r="X11" t="s">
        <v>392</v>
      </c>
    </row>
    <row r="12" spans="1:24" ht="13.5" customHeight="1" x14ac:dyDescent="0.2">
      <c r="A12" s="1" t="s">
        <v>390</v>
      </c>
      <c r="B12" s="73" t="s">
        <v>370</v>
      </c>
      <c r="C12" s="57" t="s">
        <v>283</v>
      </c>
      <c r="D12">
        <v>389</v>
      </c>
      <c r="E12" s="57">
        <v>392</v>
      </c>
      <c r="F12" s="58">
        <v>-3</v>
      </c>
      <c r="G12" s="50">
        <v>-7.7000000000000002E-3</v>
      </c>
      <c r="H12">
        <v>6264</v>
      </c>
      <c r="I12" s="1" t="s">
        <v>356</v>
      </c>
      <c r="J12" s="57" t="s">
        <v>356</v>
      </c>
      <c r="K12" t="s">
        <v>369</v>
      </c>
      <c r="L12" t="s">
        <v>375</v>
      </c>
      <c r="N12" t="s">
        <v>314</v>
      </c>
      <c r="O12" s="102" t="s">
        <v>389</v>
      </c>
      <c r="P12" t="s">
        <v>359</v>
      </c>
      <c r="Q12" s="101">
        <v>44547</v>
      </c>
      <c r="R12">
        <v>100</v>
      </c>
      <c r="S12">
        <v>100</v>
      </c>
      <c r="T12">
        <v>0</v>
      </c>
      <c r="U12" t="s">
        <v>285</v>
      </c>
      <c r="W12" t="s">
        <v>391</v>
      </c>
      <c r="X12" t="s">
        <v>391</v>
      </c>
    </row>
    <row r="13" spans="1:24" ht="13.5" customHeight="1" x14ac:dyDescent="0.2">
      <c r="A13" s="1" t="s">
        <v>390</v>
      </c>
      <c r="B13" s="73" t="s">
        <v>286</v>
      </c>
      <c r="C13" s="57" t="s">
        <v>283</v>
      </c>
      <c r="D13">
        <v>389</v>
      </c>
      <c r="E13" s="57">
        <v>392</v>
      </c>
      <c r="F13" s="58">
        <v>-3</v>
      </c>
      <c r="G13" s="50">
        <v>-7.7000000000000002E-3</v>
      </c>
      <c r="H13">
        <v>6263</v>
      </c>
      <c r="I13" s="1" t="s">
        <v>356</v>
      </c>
      <c r="J13" s="57" t="s">
        <v>356</v>
      </c>
      <c r="K13" t="s">
        <v>360</v>
      </c>
      <c r="L13" t="s">
        <v>387</v>
      </c>
      <c r="N13" t="s">
        <v>374</v>
      </c>
      <c r="O13" s="102" t="s">
        <v>362</v>
      </c>
      <c r="P13" t="s">
        <v>405</v>
      </c>
      <c r="Q13" s="101">
        <v>44547</v>
      </c>
      <c r="R13">
        <v>100</v>
      </c>
      <c r="S13">
        <v>100</v>
      </c>
      <c r="T13">
        <v>0</v>
      </c>
      <c r="U13" t="s">
        <v>404</v>
      </c>
      <c r="W13" t="s">
        <v>391</v>
      </c>
      <c r="X13" t="s">
        <v>391</v>
      </c>
    </row>
    <row r="14" spans="1:24" ht="13.5" customHeight="1" x14ac:dyDescent="0.2">
      <c r="A14" s="1" t="s">
        <v>390</v>
      </c>
      <c r="B14" s="73" t="s">
        <v>370</v>
      </c>
      <c r="C14" s="57" t="s">
        <v>283</v>
      </c>
      <c r="D14">
        <v>389</v>
      </c>
      <c r="E14" s="57">
        <v>392</v>
      </c>
      <c r="F14" s="58">
        <v>-3</v>
      </c>
      <c r="G14" s="50">
        <v>-7.7000000000000002E-3</v>
      </c>
      <c r="H14">
        <v>6262</v>
      </c>
      <c r="I14" s="1" t="s">
        <v>356</v>
      </c>
      <c r="J14" s="57" t="s">
        <v>381</v>
      </c>
      <c r="K14" t="s">
        <v>284</v>
      </c>
      <c r="L14" t="s">
        <v>388</v>
      </c>
      <c r="N14" t="s">
        <v>374</v>
      </c>
      <c r="O14" s="102" t="s">
        <v>364</v>
      </c>
      <c r="P14" t="s">
        <v>359</v>
      </c>
      <c r="Q14" s="101">
        <v>44547</v>
      </c>
      <c r="R14">
        <v>1000</v>
      </c>
      <c r="S14">
        <v>1000</v>
      </c>
      <c r="T14">
        <v>0</v>
      </c>
      <c r="U14" t="s">
        <v>358</v>
      </c>
      <c r="V14">
        <v>390</v>
      </c>
      <c r="W14" t="s">
        <v>427</v>
      </c>
      <c r="X14" t="s">
        <v>391</v>
      </c>
    </row>
    <row r="15" spans="1:24" ht="13.5" customHeight="1" x14ac:dyDescent="0.2">
      <c r="A15" s="1" t="s">
        <v>390</v>
      </c>
      <c r="B15" s="73" t="s">
        <v>370</v>
      </c>
      <c r="C15" s="57" t="s">
        <v>283</v>
      </c>
      <c r="D15">
        <v>389</v>
      </c>
      <c r="E15" s="57">
        <v>392</v>
      </c>
      <c r="F15" s="58">
        <v>-3</v>
      </c>
      <c r="G15" s="50">
        <v>-7.7000000000000002E-3</v>
      </c>
      <c r="H15">
        <v>6261</v>
      </c>
      <c r="I15" s="1" t="s">
        <v>356</v>
      </c>
      <c r="J15" s="57" t="s">
        <v>356</v>
      </c>
      <c r="K15" t="s">
        <v>284</v>
      </c>
      <c r="L15" t="s">
        <v>375</v>
      </c>
      <c r="N15" t="s">
        <v>314</v>
      </c>
      <c r="O15" s="102" t="s">
        <v>418</v>
      </c>
      <c r="P15" t="s">
        <v>359</v>
      </c>
      <c r="Q15" s="101">
        <v>44547</v>
      </c>
      <c r="R15">
        <v>1000</v>
      </c>
      <c r="S15">
        <v>1000</v>
      </c>
      <c r="T15">
        <v>0</v>
      </c>
      <c r="U15" t="s">
        <v>358</v>
      </c>
      <c r="V15">
        <v>390</v>
      </c>
      <c r="W15" t="s">
        <v>425</v>
      </c>
      <c r="X15" t="s">
        <v>391</v>
      </c>
    </row>
    <row r="16" spans="1:24" ht="13.5" customHeight="1" x14ac:dyDescent="0.2">
      <c r="A16" s="1" t="s">
        <v>390</v>
      </c>
      <c r="B16" s="73" t="s">
        <v>370</v>
      </c>
      <c r="C16" s="57" t="s">
        <v>283</v>
      </c>
      <c r="D16">
        <v>389</v>
      </c>
      <c r="E16" s="57">
        <v>392</v>
      </c>
      <c r="F16" s="58">
        <v>-3</v>
      </c>
      <c r="G16" s="50">
        <v>-7.7000000000000002E-3</v>
      </c>
      <c r="H16">
        <v>6260</v>
      </c>
      <c r="I16" s="1" t="s">
        <v>356</v>
      </c>
      <c r="J16" s="57" t="s">
        <v>394</v>
      </c>
      <c r="K16" t="s">
        <v>368</v>
      </c>
      <c r="L16" t="s">
        <v>387</v>
      </c>
      <c r="N16" t="s">
        <v>374</v>
      </c>
      <c r="O16" s="102" t="s">
        <v>365</v>
      </c>
      <c r="P16" t="s">
        <v>359</v>
      </c>
      <c r="Q16" s="101">
        <v>44547</v>
      </c>
      <c r="R16">
        <v>1000</v>
      </c>
      <c r="S16">
        <v>1000</v>
      </c>
      <c r="T16">
        <v>0</v>
      </c>
      <c r="U16" t="s">
        <v>403</v>
      </c>
      <c r="V16">
        <v>390</v>
      </c>
      <c r="W16" t="s">
        <v>391</v>
      </c>
      <c r="X16" t="s">
        <v>391</v>
      </c>
    </row>
    <row r="17" spans="1:24" ht="13.5" customHeight="1" x14ac:dyDescent="0.2">
      <c r="A17" s="1" t="s">
        <v>390</v>
      </c>
      <c r="B17" s="73" t="s">
        <v>370</v>
      </c>
      <c r="C17" s="57" t="s">
        <v>283</v>
      </c>
      <c r="D17">
        <v>389</v>
      </c>
      <c r="E17" s="57">
        <v>392</v>
      </c>
      <c r="F17" s="58">
        <v>-3</v>
      </c>
      <c r="G17" s="50">
        <v>-7.7000000000000002E-3</v>
      </c>
      <c r="H17">
        <v>6259</v>
      </c>
      <c r="I17" s="1" t="s">
        <v>400</v>
      </c>
      <c r="J17" s="57" t="s">
        <v>400</v>
      </c>
      <c r="K17" t="s">
        <v>412</v>
      </c>
      <c r="N17" t="s">
        <v>314</v>
      </c>
      <c r="O17" s="102" t="s">
        <v>419</v>
      </c>
      <c r="P17" t="s">
        <v>359</v>
      </c>
      <c r="Q17" s="101">
        <v>44547</v>
      </c>
      <c r="R17">
        <v>200</v>
      </c>
      <c r="S17">
        <v>200</v>
      </c>
      <c r="T17">
        <v>0</v>
      </c>
      <c r="U17" t="s">
        <v>404</v>
      </c>
      <c r="W17" t="s">
        <v>357</v>
      </c>
      <c r="X17" t="s">
        <v>391</v>
      </c>
    </row>
    <row r="18" spans="1:24" ht="13.5" customHeight="1" x14ac:dyDescent="0.2">
      <c r="A18" s="1" t="s">
        <v>353</v>
      </c>
      <c r="B18" s="73" t="s">
        <v>353</v>
      </c>
      <c r="C18" s="57" t="s">
        <v>276</v>
      </c>
      <c r="D18" t="s">
        <v>163</v>
      </c>
      <c r="E18" s="57" t="s">
        <v>163</v>
      </c>
      <c r="F18" s="58" t="s">
        <v>163</v>
      </c>
      <c r="G18" s="50" t="s">
        <v>163</v>
      </c>
      <c r="H18" t="s">
        <v>163</v>
      </c>
      <c r="I18" s="1" t="s">
        <v>276</v>
      </c>
      <c r="J18" s="57" t="s">
        <v>382</v>
      </c>
      <c r="K18" t="s">
        <v>276</v>
      </c>
      <c r="L18" t="s">
        <v>353</v>
      </c>
      <c r="M18" t="s">
        <v>163</v>
      </c>
      <c r="N18" t="s">
        <v>279</v>
      </c>
      <c r="O18" s="102" t="s">
        <v>354</v>
      </c>
      <c r="P18" t="s">
        <v>276</v>
      </c>
      <c r="Q18" s="101" t="s">
        <v>432</v>
      </c>
      <c r="R18" t="s">
        <v>163</v>
      </c>
      <c r="S18" t="s">
        <v>163</v>
      </c>
      <c r="T18" t="s">
        <v>163</v>
      </c>
      <c r="U18" t="s">
        <v>353</v>
      </c>
      <c r="V18" t="s">
        <v>163</v>
      </c>
      <c r="W18" t="s">
        <v>353</v>
      </c>
      <c r="X18" t="s">
        <v>353</v>
      </c>
    </row>
    <row r="19" spans="1:24" ht="13.5" customHeight="1" x14ac:dyDescent="0.2">
      <c r="A19" s="1"/>
      <c r="B19" s="73"/>
      <c r="C19" s="57"/>
      <c r="E19" s="57"/>
      <c r="F19" s="58"/>
      <c r="G19" s="50"/>
      <c r="I19" s="1"/>
      <c r="J19" s="57"/>
      <c r="O19" s="102"/>
      <c r="Q19" s="101"/>
    </row>
    <row r="20" spans="1:24" ht="13.5" customHeight="1" x14ac:dyDescent="0.2">
      <c r="A20" s="1"/>
      <c r="B20" s="73"/>
      <c r="C20" s="57"/>
      <c r="E20" s="57"/>
      <c r="F20" s="58"/>
      <c r="G20" s="50"/>
      <c r="I20" s="1"/>
      <c r="J20" s="57"/>
      <c r="O20" s="102"/>
      <c r="Q20" s="101"/>
    </row>
    <row r="21" spans="1:24" ht="13.5" customHeight="1" x14ac:dyDescent="0.2">
      <c r="A21" s="1"/>
      <c r="B21" s="73"/>
      <c r="C21" s="57"/>
      <c r="E21" s="57"/>
      <c r="F21" s="58"/>
      <c r="G21" s="50"/>
      <c r="I21" s="1"/>
      <c r="J21" s="57"/>
      <c r="O21" s="102"/>
      <c r="Q21" s="101"/>
    </row>
    <row r="22" spans="1:24" ht="13.5" customHeight="1" x14ac:dyDescent="0.2">
      <c r="A22" s="1"/>
      <c r="B22" s="73"/>
      <c r="C22" s="57"/>
      <c r="E22" s="57"/>
      <c r="F22" s="58"/>
      <c r="G22" s="50"/>
      <c r="I22" s="1"/>
      <c r="J22" s="57"/>
      <c r="O22" s="102"/>
      <c r="Q22" s="101"/>
    </row>
    <row r="23" spans="1:24" ht="13.5" customHeight="1" x14ac:dyDescent="0.2">
      <c r="A23" s="1"/>
      <c r="B23" s="73"/>
      <c r="C23" s="57"/>
      <c r="E23" s="57"/>
      <c r="F23" s="58"/>
      <c r="G23" s="50"/>
      <c r="I23" s="1"/>
      <c r="J23" s="57"/>
      <c r="O23" s="102"/>
      <c r="Q23" s="101"/>
    </row>
    <row r="24" spans="1:24" ht="13.5" customHeight="1" x14ac:dyDescent="0.2">
      <c r="A24" s="1"/>
      <c r="B24" s="73"/>
      <c r="C24" s="57"/>
      <c r="E24" s="57"/>
      <c r="F24" s="58"/>
      <c r="G24" s="50"/>
      <c r="I24" s="1"/>
      <c r="J24" s="57"/>
      <c r="O24" s="102"/>
      <c r="Q24" s="101"/>
    </row>
    <row r="25" spans="1:24" ht="13.5" customHeight="1" x14ac:dyDescent="0.2">
      <c r="A25" s="1"/>
      <c r="B25" s="73"/>
      <c r="C25" s="57"/>
      <c r="E25" s="57"/>
      <c r="F25" s="58"/>
      <c r="G25" s="50"/>
      <c r="I25" s="1"/>
      <c r="J25" s="57"/>
      <c r="O25" s="102"/>
      <c r="Q25" s="101"/>
    </row>
    <row r="26" spans="1:24" ht="13.5" customHeight="1" x14ac:dyDescent="0.2">
      <c r="A26" s="1"/>
      <c r="B26" s="73"/>
      <c r="C26" s="57"/>
      <c r="E26" s="57"/>
      <c r="F26" s="58"/>
      <c r="G26" s="50"/>
      <c r="I26" s="1"/>
      <c r="J26" s="57"/>
      <c r="O26" s="102"/>
      <c r="Q26" s="101"/>
    </row>
    <row r="27" spans="1:24" ht="13.5" customHeight="1" x14ac:dyDescent="0.2">
      <c r="A27" s="1"/>
      <c r="B27" s="73"/>
      <c r="C27" s="57"/>
      <c r="E27" s="57"/>
      <c r="F27" s="58"/>
      <c r="G27" s="50"/>
      <c r="I27" s="1"/>
      <c r="J27" s="57"/>
      <c r="O27" s="102"/>
      <c r="Q27" s="101"/>
    </row>
    <row r="28" spans="1:24" ht="13.5" customHeight="1" x14ac:dyDescent="0.2">
      <c r="A28" s="1"/>
      <c r="B28" s="73"/>
      <c r="C28" s="57"/>
      <c r="E28" s="57"/>
      <c r="F28" s="58"/>
      <c r="G28" s="50"/>
      <c r="I28" s="1"/>
      <c r="J28" s="57"/>
      <c r="O28" s="102"/>
      <c r="Q28" s="101"/>
    </row>
    <row r="29" spans="1:24" ht="13.5" customHeight="1" x14ac:dyDescent="0.2">
      <c r="A29" s="1"/>
      <c r="B29" s="73"/>
      <c r="C29" s="57"/>
      <c r="E29" s="57"/>
      <c r="F29" s="58"/>
      <c r="I29" s="1"/>
      <c r="J29" s="57"/>
    </row>
    <row r="30" spans="1:24" ht="13.5" customHeight="1" x14ac:dyDescent="0.2">
      <c r="A30" s="1"/>
      <c r="B30" s="73"/>
      <c r="C30" s="57"/>
      <c r="E30" s="57"/>
      <c r="F30" s="58"/>
      <c r="I30" s="1"/>
      <c r="J30" s="57"/>
    </row>
    <row r="31" spans="1:24" ht="13.5" customHeight="1" x14ac:dyDescent="0.2">
      <c r="A31" s="1"/>
      <c r="B31" s="73"/>
      <c r="C31" s="57"/>
      <c r="E31" s="57"/>
      <c r="F31" s="58"/>
      <c r="I31" s="1"/>
      <c r="J31" s="57"/>
    </row>
    <row r="32" spans="1:24" ht="13.5" customHeight="1" x14ac:dyDescent="0.2">
      <c r="A32" s="1"/>
      <c r="B32" s="73"/>
      <c r="C32" s="57"/>
      <c r="E32" s="57"/>
      <c r="F32" s="58"/>
      <c r="I32" s="1"/>
      <c r="J32" s="57"/>
    </row>
    <row r="33" spans="1:10" ht="13.5" customHeight="1" x14ac:dyDescent="0.2">
      <c r="A33" s="1"/>
      <c r="B33" s="73"/>
      <c r="C33" s="57"/>
      <c r="E33" s="57"/>
      <c r="F33" s="58"/>
      <c r="I33" s="1"/>
      <c r="J33" s="57"/>
    </row>
    <row r="34" spans="1:10" ht="13.5" customHeight="1" x14ac:dyDescent="0.2">
      <c r="A34" s="1"/>
      <c r="B34" s="73"/>
      <c r="C34" s="57"/>
      <c r="E34" s="57"/>
      <c r="F34" s="58"/>
      <c r="I34" s="1"/>
      <c r="J34" s="57"/>
    </row>
    <row r="35" spans="1:10" ht="13.5" customHeight="1" x14ac:dyDescent="0.2">
      <c r="A35" s="1"/>
      <c r="B35" s="73"/>
      <c r="C35" s="57"/>
      <c r="E35" s="57"/>
      <c r="F35" s="58"/>
      <c r="I35" s="1"/>
      <c r="J35" s="57"/>
    </row>
    <row r="36" spans="1:10" ht="13.5" customHeight="1" x14ac:dyDescent="0.2">
      <c r="A36" s="1"/>
      <c r="B36" s="73"/>
      <c r="C36" s="57"/>
      <c r="E36" s="57"/>
      <c r="F36" s="58"/>
      <c r="I36" s="1"/>
      <c r="J36" s="57"/>
    </row>
    <row r="37" spans="1:10" ht="13.5" customHeight="1" x14ac:dyDescent="0.2">
      <c r="A37" s="1"/>
      <c r="B37" s="73"/>
      <c r="C37" s="57"/>
      <c r="E37" s="57"/>
      <c r="F37" s="58"/>
      <c r="I37" s="1"/>
      <c r="J37" s="57"/>
    </row>
    <row r="38" spans="1:10" ht="13.5" customHeight="1" x14ac:dyDescent="0.2">
      <c r="A38" s="1"/>
      <c r="B38" s="73"/>
      <c r="C38" s="57"/>
      <c r="E38" s="57"/>
      <c r="F38" s="58"/>
      <c r="I38" s="1"/>
      <c r="J38" s="57"/>
    </row>
    <row r="39" spans="1:10" ht="13.5" customHeight="1" x14ac:dyDescent="0.2">
      <c r="A39" s="1"/>
      <c r="B39" s="73"/>
      <c r="C39" s="57"/>
      <c r="E39" s="57"/>
      <c r="F39" s="58"/>
      <c r="I39" s="1"/>
      <c r="J39" s="57"/>
    </row>
    <row r="40" spans="1:10" ht="13.5" customHeight="1" x14ac:dyDescent="0.2">
      <c r="A40" s="1"/>
      <c r="B40" s="73"/>
      <c r="C40" s="57"/>
      <c r="E40" s="57"/>
      <c r="F40" s="58"/>
      <c r="I40" s="1"/>
      <c r="J40" s="57"/>
    </row>
    <row r="41" spans="1:10" ht="13.5" customHeight="1" x14ac:dyDescent="0.2">
      <c r="A41" s="1"/>
      <c r="B41" s="73"/>
      <c r="C41" s="57"/>
      <c r="E41" s="57"/>
      <c r="F41" s="58"/>
      <c r="I41" s="1"/>
      <c r="J41" s="57"/>
    </row>
    <row r="42" spans="1:10" ht="13.5" customHeight="1" x14ac:dyDescent="0.2">
      <c r="A42" s="1"/>
      <c r="B42" s="73"/>
      <c r="C42" s="57"/>
      <c r="E42" s="57"/>
      <c r="F42" s="58"/>
      <c r="I42" s="1"/>
      <c r="J42" s="57"/>
    </row>
    <row r="43" spans="1:10" ht="13.5" customHeight="1" x14ac:dyDescent="0.2">
      <c r="A43" s="1"/>
      <c r="B43" s="73"/>
      <c r="C43" s="57"/>
      <c r="E43" s="57"/>
      <c r="F43" s="58"/>
      <c r="I43" s="1"/>
      <c r="J43" s="57"/>
    </row>
    <row r="44" spans="1:10" ht="13.5" customHeight="1" x14ac:dyDescent="0.2">
      <c r="A44" s="1"/>
      <c r="B44" s="73"/>
      <c r="C44" s="57"/>
      <c r="E44" s="57"/>
      <c r="F44" s="58"/>
      <c r="I44" s="1"/>
      <c r="J44" s="57"/>
    </row>
    <row r="45" spans="1:10" ht="13.5" customHeight="1" x14ac:dyDescent="0.2">
      <c r="A45" s="1"/>
      <c r="B45" s="73"/>
      <c r="C45" s="57"/>
      <c r="E45" s="57"/>
      <c r="F45" s="58"/>
      <c r="I45" s="1"/>
      <c r="J45" s="57"/>
    </row>
    <row r="46" spans="1:10" ht="13.5" customHeight="1" x14ac:dyDescent="0.2">
      <c r="A46" s="1"/>
      <c r="B46" s="73"/>
      <c r="C46" s="57"/>
      <c r="E46" s="57"/>
      <c r="F46" s="58"/>
      <c r="I46" s="1"/>
      <c r="J46" s="57"/>
    </row>
    <row r="47" spans="1:10" ht="13.5" customHeight="1" x14ac:dyDescent="0.2">
      <c r="A47" s="1"/>
      <c r="B47" s="73"/>
      <c r="C47" s="57"/>
      <c r="E47" s="57"/>
      <c r="F47" s="58"/>
      <c r="I47" s="1"/>
      <c r="J47" s="57"/>
    </row>
    <row r="48" spans="1:10" ht="13.5" customHeight="1" x14ac:dyDescent="0.2">
      <c r="A48" s="1"/>
      <c r="B48" s="73"/>
      <c r="C48" s="57"/>
      <c r="E48" s="57"/>
      <c r="F48" s="58"/>
      <c r="I48" s="1"/>
      <c r="J48" s="57"/>
    </row>
    <row r="49" spans="1:10" ht="13.5" customHeight="1" x14ac:dyDescent="0.2">
      <c r="A49" s="1"/>
      <c r="B49" s="73"/>
      <c r="C49" s="57"/>
      <c r="E49" s="57"/>
      <c r="F49" s="58"/>
      <c r="I49" s="1"/>
      <c r="J49" s="57"/>
    </row>
    <row r="50" spans="1:10" ht="13.5" customHeight="1" x14ac:dyDescent="0.2">
      <c r="A50" s="1"/>
      <c r="B50" s="73"/>
      <c r="C50" s="57"/>
      <c r="E50" s="57"/>
      <c r="F50" s="58"/>
      <c r="I50" s="1"/>
      <c r="J50" s="57"/>
    </row>
    <row r="51" spans="1:10" ht="13.5" customHeight="1" x14ac:dyDescent="0.2">
      <c r="A51" s="1"/>
      <c r="B51" s="73"/>
      <c r="C51" s="57"/>
      <c r="E51" s="57"/>
      <c r="F51" s="58"/>
      <c r="I51" s="1"/>
      <c r="J51" s="57"/>
    </row>
    <row r="52" spans="1:10" ht="13.5" customHeight="1" x14ac:dyDescent="0.2">
      <c r="A52" s="1"/>
      <c r="B52" s="57"/>
      <c r="C52" s="57"/>
      <c r="E52" s="57"/>
      <c r="F52" s="58"/>
      <c r="I52" s="1"/>
      <c r="J52" s="57"/>
    </row>
    <row r="53" spans="1:10" ht="13.5" customHeight="1" x14ac:dyDescent="0.2">
      <c r="A53" s="1"/>
      <c r="B53" s="57"/>
      <c r="C53" s="57"/>
      <c r="E53" s="57"/>
      <c r="F53" s="58"/>
      <c r="I53" s="1"/>
      <c r="J53" s="57"/>
    </row>
    <row r="54" spans="1:10" ht="13.5" customHeight="1" x14ac:dyDescent="0.2">
      <c r="A54" s="1"/>
      <c r="B54" s="57"/>
      <c r="C54" s="57"/>
      <c r="E54" s="57"/>
      <c r="F54" s="58"/>
      <c r="I54" s="1"/>
      <c r="J54" s="57"/>
    </row>
    <row r="55" spans="1:10" ht="13.5" customHeight="1" x14ac:dyDescent="0.2">
      <c r="A55" s="1"/>
      <c r="B55" s="57"/>
      <c r="C55" s="57"/>
      <c r="E55" s="57"/>
      <c r="F55" s="58"/>
      <c r="I55" s="1"/>
      <c r="J55" s="57"/>
    </row>
    <row r="56" spans="1:10" ht="13.5" customHeight="1" x14ac:dyDescent="0.2">
      <c r="A56" s="1"/>
      <c r="B56" s="57"/>
      <c r="C56" s="57"/>
      <c r="E56" s="57"/>
      <c r="F56" s="58"/>
      <c r="I56" s="1"/>
      <c r="J56" s="57"/>
    </row>
    <row r="57" spans="1:10" ht="13.5" customHeight="1" x14ac:dyDescent="0.2">
      <c r="A57" s="1"/>
      <c r="B57" s="57"/>
      <c r="C57" s="57"/>
      <c r="E57" s="57"/>
      <c r="F57" s="58"/>
      <c r="I57" s="1"/>
      <c r="J57" s="57"/>
    </row>
    <row r="58" spans="1:10" ht="13.5" customHeight="1" x14ac:dyDescent="0.2">
      <c r="A58" s="1"/>
      <c r="B58" s="57"/>
      <c r="C58" s="57"/>
      <c r="E58" s="57"/>
      <c r="F58" s="58"/>
      <c r="I58" s="1"/>
      <c r="J58" s="57"/>
    </row>
    <row r="59" spans="1:10" ht="13.5" customHeight="1" x14ac:dyDescent="0.2">
      <c r="A59" s="1"/>
      <c r="B59" s="57"/>
      <c r="C59" s="57"/>
      <c r="E59" s="57"/>
      <c r="F59" s="58"/>
      <c r="I59" s="1"/>
      <c r="J59" s="57"/>
    </row>
    <row r="60" spans="1:10" ht="13.5" customHeight="1" x14ac:dyDescent="0.2">
      <c r="A60" s="1"/>
      <c r="B60" s="57"/>
      <c r="C60" s="57"/>
      <c r="E60" s="57"/>
      <c r="F60" s="58"/>
      <c r="I60" s="1"/>
      <c r="J60" s="57"/>
    </row>
    <row r="61" spans="1:10" ht="13.5" customHeight="1" x14ac:dyDescent="0.2">
      <c r="A61" s="1"/>
      <c r="B61" s="57"/>
      <c r="C61" s="57"/>
      <c r="E61" s="57"/>
      <c r="F61" s="58"/>
      <c r="I61" s="1"/>
      <c r="J61" s="57"/>
    </row>
    <row r="62" spans="1:10" ht="13.5" customHeight="1" x14ac:dyDescent="0.2">
      <c r="A62" s="1"/>
      <c r="B62" s="57"/>
      <c r="C62" s="57"/>
      <c r="E62" s="57"/>
      <c r="F62" s="58"/>
      <c r="I62" s="1"/>
      <c r="J62" s="57"/>
    </row>
    <row r="63" spans="1:10" ht="13.5" customHeight="1" x14ac:dyDescent="0.2">
      <c r="A63" s="1"/>
      <c r="B63" s="57"/>
      <c r="C63" s="57"/>
      <c r="E63" s="57"/>
      <c r="F63" s="58"/>
      <c r="I63" s="1"/>
      <c r="J63" s="57"/>
    </row>
    <row r="64" spans="1:10" ht="13.5" customHeight="1" x14ac:dyDescent="0.2">
      <c r="A64" s="1"/>
      <c r="B64" s="57"/>
      <c r="C64" s="57"/>
      <c r="E64" s="57"/>
      <c r="F64" s="58"/>
      <c r="I64" s="1"/>
      <c r="J64" s="57"/>
    </row>
    <row r="65" spans="1:10" ht="13.5" customHeight="1" x14ac:dyDescent="0.2">
      <c r="A65" s="1"/>
      <c r="B65" s="57"/>
      <c r="C65" s="57"/>
      <c r="E65" s="57"/>
      <c r="F65" s="58"/>
      <c r="I65" s="1"/>
      <c r="J65" s="57"/>
    </row>
    <row r="66" spans="1:10" ht="13.5" customHeight="1" x14ac:dyDescent="0.2">
      <c r="A66" s="1"/>
      <c r="B66" s="57"/>
      <c r="C66" s="57"/>
      <c r="E66" s="57"/>
      <c r="F66" s="58"/>
      <c r="I66" s="1"/>
      <c r="J66" s="57"/>
    </row>
    <row r="67" spans="1:10" ht="13.5" customHeight="1" x14ac:dyDescent="0.2">
      <c r="A67" s="1"/>
      <c r="B67" s="57"/>
      <c r="C67" s="57"/>
      <c r="E67" s="57"/>
      <c r="F67" s="58"/>
      <c r="I67" s="1"/>
      <c r="J67" s="57"/>
    </row>
    <row r="68" spans="1:10" ht="13.5" customHeight="1" x14ac:dyDescent="0.2">
      <c r="A68" s="1"/>
      <c r="B68" s="57"/>
      <c r="C68" s="57"/>
      <c r="E68" s="57"/>
      <c r="F68" s="58"/>
      <c r="I68" s="1"/>
      <c r="J68" s="57"/>
    </row>
    <row r="69" spans="1:10" ht="13.5" customHeight="1" x14ac:dyDescent="0.2">
      <c r="A69" s="1"/>
      <c r="B69" s="57"/>
      <c r="C69" s="57"/>
      <c r="E69" s="57"/>
      <c r="F69" s="58"/>
      <c r="I69" s="1"/>
      <c r="J69" s="57"/>
    </row>
    <row r="70" spans="1:10" ht="13.5" customHeight="1" x14ac:dyDescent="0.2">
      <c r="A70" s="1"/>
      <c r="B70" s="57"/>
      <c r="C70" s="57"/>
      <c r="E70" s="57"/>
      <c r="F70" s="58"/>
      <c r="I70" s="1"/>
      <c r="J70" s="57"/>
    </row>
    <row r="71" spans="1:10" ht="13.5" customHeight="1" x14ac:dyDescent="0.2">
      <c r="A71" s="1"/>
      <c r="B71" s="57"/>
      <c r="C71" s="57"/>
      <c r="E71" s="57"/>
      <c r="F71" s="58"/>
      <c r="I71" s="1"/>
      <c r="J71" s="57"/>
    </row>
    <row r="72" spans="1:10" ht="13.5" customHeight="1" x14ac:dyDescent="0.2">
      <c r="A72" s="1"/>
      <c r="B72" s="57"/>
      <c r="C72" s="57"/>
      <c r="E72" s="57"/>
      <c r="F72" s="58"/>
      <c r="I72" s="1"/>
      <c r="J72" s="57"/>
    </row>
    <row r="73" spans="1:10" ht="13.5" customHeight="1" x14ac:dyDescent="0.2">
      <c r="A73" s="1"/>
      <c r="B73" s="57"/>
      <c r="C73" s="57"/>
      <c r="E73" s="57"/>
      <c r="F73" s="58"/>
      <c r="I73" s="1"/>
      <c r="J73" s="57"/>
    </row>
    <row r="74" spans="1:10" ht="13.5" customHeight="1" x14ac:dyDescent="0.2">
      <c r="A74" s="1"/>
      <c r="B74" s="57"/>
      <c r="C74" s="57"/>
      <c r="E74" s="57"/>
      <c r="F74" s="58"/>
      <c r="I74" s="1"/>
      <c r="J74" s="57"/>
    </row>
    <row r="75" spans="1:10" ht="13.5" customHeight="1" x14ac:dyDescent="0.2">
      <c r="A75" s="1"/>
      <c r="B75" s="57"/>
      <c r="C75" s="57"/>
      <c r="E75" s="57"/>
      <c r="F75" s="58"/>
      <c r="I75" s="1"/>
      <c r="J75" s="57"/>
    </row>
    <row r="76" spans="1:10" ht="13.5" customHeight="1" x14ac:dyDescent="0.2">
      <c r="A76" s="1"/>
      <c r="B76" s="57"/>
      <c r="C76" s="57"/>
      <c r="E76" s="57"/>
      <c r="F76" s="58"/>
      <c r="I76" s="1"/>
      <c r="J76" s="57"/>
    </row>
    <row r="77" spans="1:10" ht="13.5" customHeight="1" x14ac:dyDescent="0.2">
      <c r="A77" s="1"/>
      <c r="B77" s="57"/>
      <c r="C77" s="57"/>
      <c r="E77" s="57"/>
      <c r="F77" s="58"/>
      <c r="I77" s="1"/>
      <c r="J77" s="57"/>
    </row>
    <row r="78" spans="1:10" ht="13.5" customHeight="1" x14ac:dyDescent="0.2">
      <c r="A78" s="1"/>
      <c r="B78" s="57"/>
      <c r="C78" s="57"/>
      <c r="E78" s="57"/>
      <c r="F78" s="58"/>
      <c r="I78" s="1"/>
      <c r="J78" s="57"/>
    </row>
    <row r="79" spans="1:10" ht="13.5" customHeight="1" x14ac:dyDescent="0.2">
      <c r="A79" s="1"/>
      <c r="B79" s="57"/>
      <c r="C79" s="57"/>
      <c r="E79" s="57"/>
      <c r="F79" s="58"/>
      <c r="I79" s="1"/>
      <c r="J79" s="57"/>
    </row>
    <row r="80" spans="1:10" ht="13.5" customHeight="1" x14ac:dyDescent="0.2">
      <c r="A80" s="1"/>
      <c r="B80" s="57"/>
      <c r="C80" s="57"/>
      <c r="E80" s="57"/>
      <c r="F80" s="58"/>
      <c r="I80" s="1"/>
    </row>
    <row r="81" spans="1:9" ht="13.5" customHeight="1" x14ac:dyDescent="0.2">
      <c r="A81" s="1"/>
      <c r="B81" s="57"/>
      <c r="C81" s="57"/>
      <c r="E81" s="57"/>
      <c r="F81" s="58"/>
      <c r="I81" s="1"/>
    </row>
    <row r="82" spans="1:9" ht="13.5" customHeight="1" x14ac:dyDescent="0.2">
      <c r="A82" s="1"/>
      <c r="B82" s="57"/>
      <c r="C82" s="57"/>
      <c r="E82" s="57"/>
      <c r="F82" s="58"/>
      <c r="I82" s="1"/>
    </row>
    <row r="83" spans="1:9" ht="13.5" customHeight="1" x14ac:dyDescent="0.2">
      <c r="A83" s="1"/>
      <c r="B83" s="57"/>
      <c r="C83" s="57"/>
      <c r="E83" s="57"/>
      <c r="F83" s="58"/>
      <c r="I83" s="1"/>
    </row>
    <row r="84" spans="1:9" ht="13.5" customHeight="1" x14ac:dyDescent="0.2">
      <c r="A84" s="1"/>
      <c r="B84" s="57"/>
      <c r="C84" s="57"/>
      <c r="E84" s="57"/>
      <c r="F84" s="58"/>
      <c r="I84" s="1"/>
    </row>
    <row r="85" spans="1:9" ht="13.5" customHeight="1" x14ac:dyDescent="0.2">
      <c r="A85" s="1"/>
      <c r="I85" s="1"/>
    </row>
    <row r="86" spans="1:9" ht="13.5" customHeight="1" x14ac:dyDescent="0.2">
      <c r="A86" s="1"/>
      <c r="I86" s="1"/>
    </row>
    <row r="87" spans="1:9" ht="13.5" customHeight="1" x14ac:dyDescent="0.2">
      <c r="A87" s="1"/>
      <c r="I87" s="1"/>
    </row>
    <row r="88" spans="1:9" ht="13.5" customHeight="1" x14ac:dyDescent="0.2">
      <c r="A88" s="1"/>
      <c r="I88" s="1"/>
    </row>
    <row r="89" spans="1:9" ht="13.5" customHeight="1" x14ac:dyDescent="0.2">
      <c r="A89" s="1"/>
      <c r="I89" s="1"/>
    </row>
    <row r="90" spans="1:9" ht="13.5" customHeight="1" x14ac:dyDescent="0.2">
      <c r="A90" s="1"/>
      <c r="I90" s="1"/>
    </row>
    <row r="91" spans="1:9" ht="13.5" customHeight="1" x14ac:dyDescent="0.2">
      <c r="A91" s="1"/>
      <c r="I91" s="1"/>
    </row>
    <row r="92" spans="1:9" ht="13.5" customHeight="1" x14ac:dyDescent="0.2">
      <c r="A92" s="1"/>
      <c r="I92" s="1"/>
    </row>
    <row r="93" spans="1:9" ht="13.5" customHeight="1" x14ac:dyDescent="0.2">
      <c r="A93" s="1"/>
      <c r="I93" s="1"/>
    </row>
  </sheetData>
  <mergeCells count="1">
    <mergeCell ref="A2:X2"/>
  </mergeCells>
  <phoneticPr fontId="3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C92"/>
  <sheetViews>
    <sheetView zoomScaleNormal="100" workbookViewId="0">
      <selection activeCell="D1" sqref="D1"/>
    </sheetView>
  </sheetViews>
  <sheetFormatPr defaultColWidth="9" defaultRowHeight="13" x14ac:dyDescent="0.2"/>
  <cols>
    <col min="1" max="1" width="7.453125" customWidth="1"/>
    <col min="2" max="2" width="5.90625" customWidth="1"/>
    <col min="3" max="3" width="7.08984375" bestFit="1" customWidth="1"/>
    <col min="5" max="5" width="7.08984375" bestFit="1" customWidth="1"/>
    <col min="10" max="10" width="8.453125" bestFit="1" customWidth="1"/>
    <col min="11" max="11" width="8.453125" customWidth="1"/>
    <col min="12" max="12" width="12.26953125" customWidth="1"/>
    <col min="13" max="13" width="15.36328125" customWidth="1"/>
    <col min="15" max="15" width="8.36328125" customWidth="1"/>
    <col min="17" max="17" width="7.453125" customWidth="1"/>
    <col min="21" max="21" width="8.6328125" customWidth="1"/>
    <col min="22" max="22" width="9.453125" customWidth="1"/>
    <col min="23" max="23" width="8" customWidth="1"/>
    <col min="24" max="24" width="11" bestFit="1" customWidth="1"/>
    <col min="25" max="25" width="8.36328125" customWidth="1"/>
    <col min="26" max="26" width="9.6328125" customWidth="1"/>
    <col min="27" max="27" width="6.7265625" customWidth="1"/>
    <col min="28" max="28" width="6.08984375" customWidth="1"/>
    <col min="29" max="29" width="11" bestFit="1" customWidth="1"/>
    <col min="31" max="31" width="11" bestFit="1" customWidth="1"/>
  </cols>
  <sheetData>
    <row r="1" spans="1:29" ht="13.5" customHeight="1" x14ac:dyDescent="0.2">
      <c r="A1" t="e">
        <f>[1]!ORDQUERY("2",A3,A4)</f>
        <v>#N/A</v>
      </c>
      <c r="B1" t="e">
        <f>[1]!ORDQUERY("2",B3,B4)</f>
        <v>#N/A</v>
      </c>
      <c r="C1" t="e">
        <f>[1]!ORDQUERY("2",C3,C4)</f>
        <v>#N/A</v>
      </c>
      <c r="D1" t="e">
        <f>[1]!ORDQUERY("2",D3,D4)</f>
        <v>#N/A</v>
      </c>
      <c r="E1" t="e">
        <f>[1]!ORDQUERY("2",E3,E4)</f>
        <v>#N/A</v>
      </c>
      <c r="F1" t="e">
        <f>[1]!ORDQUERY("2",F3,F4)</f>
        <v>#N/A</v>
      </c>
      <c r="G1" t="e">
        <f>[1]!ORDQUERY("2",G3,G4)</f>
        <v>#N/A</v>
      </c>
      <c r="H1" t="e">
        <f>[1]!ORDQUERY("2",H3,H4)</f>
        <v>#N/A</v>
      </c>
      <c r="I1" t="e">
        <f>[1]!ORDQUERY("2",I3,I4)</f>
        <v>#N/A</v>
      </c>
      <c r="J1" t="e">
        <f>[1]!ORDQUERY("2",J3,J4)</f>
        <v>#N/A</v>
      </c>
      <c r="K1" t="e">
        <f>[1]!ORDQUERY("2",K3,K4)</f>
        <v>#N/A</v>
      </c>
      <c r="L1" t="e">
        <f>[1]!ORDQUERY("2",L3,L4)</f>
        <v>#N/A</v>
      </c>
      <c r="M1" t="e">
        <f>[1]!ORDQUERY("2",M3,M4)</f>
        <v>#N/A</v>
      </c>
      <c r="N1" t="e">
        <f>[1]!ORDQUERY("2",N3,N4)</f>
        <v>#N/A</v>
      </c>
      <c r="O1" t="e">
        <f>[1]!ORDQUERY("2",O3,O4)</f>
        <v>#N/A</v>
      </c>
      <c r="P1" t="e">
        <f>[1]!ORDQUERY("2",P3,P4)</f>
        <v>#N/A</v>
      </c>
      <c r="Q1" t="e">
        <f>[1]!ORDQUERY("2",Q3,Q4)</f>
        <v>#N/A</v>
      </c>
      <c r="R1" t="e">
        <f>[1]!ORDQUERY("2",R3,R4)</f>
        <v>#N/A</v>
      </c>
      <c r="S1" t="e">
        <f>[1]!ORDQUERY("2",S3,S4)</f>
        <v>#N/A</v>
      </c>
      <c r="T1" t="e">
        <f>[1]!ORDQUERY("2",T3,T4)</f>
        <v>#N/A</v>
      </c>
      <c r="U1" t="e">
        <f>[1]!ORDQUERY("2",U3,U4)</f>
        <v>#N/A</v>
      </c>
      <c r="V1" t="e">
        <f>[1]!ORDQUERY("2",V3,V4)</f>
        <v>#N/A</v>
      </c>
      <c r="W1" t="e">
        <f>[1]!ORDQUERY("2",W3,W4)</f>
        <v>#N/A</v>
      </c>
      <c r="X1" t="e">
        <f>[1]!ORDQUERY("2",X3,X4)</f>
        <v>#N/A</v>
      </c>
    </row>
    <row r="2" spans="1:29" ht="13.5" customHeight="1" x14ac:dyDescent="0.2">
      <c r="A2" s="289" t="s">
        <v>128</v>
      </c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1"/>
      <c r="AA2" s="85"/>
    </row>
    <row r="3" spans="1:29" ht="26.25" customHeight="1" x14ac:dyDescent="0.2">
      <c r="A3" s="88" t="s">
        <v>59</v>
      </c>
      <c r="B3" s="89" t="s">
        <v>89</v>
      </c>
      <c r="C3" s="89" t="s">
        <v>90</v>
      </c>
      <c r="D3" s="89" t="s">
        <v>91</v>
      </c>
      <c r="E3" s="89" t="s">
        <v>92</v>
      </c>
      <c r="F3" s="89" t="s">
        <v>93</v>
      </c>
      <c r="G3" s="89" t="s">
        <v>55</v>
      </c>
      <c r="H3" s="89" t="s">
        <v>94</v>
      </c>
      <c r="I3" s="89" t="s">
        <v>95</v>
      </c>
      <c r="J3" s="89" t="s">
        <v>78</v>
      </c>
      <c r="K3" s="89" t="s">
        <v>141</v>
      </c>
      <c r="L3" s="89" t="s">
        <v>98</v>
      </c>
      <c r="M3" s="89" t="s">
        <v>102</v>
      </c>
      <c r="N3" s="89" t="s">
        <v>103</v>
      </c>
      <c r="O3" s="89" t="s">
        <v>104</v>
      </c>
      <c r="P3" s="89" t="s">
        <v>105</v>
      </c>
      <c r="Q3" s="89" t="s">
        <v>106</v>
      </c>
      <c r="R3" s="89" t="s">
        <v>107</v>
      </c>
      <c r="S3" s="89" t="s">
        <v>66</v>
      </c>
      <c r="T3" s="89" t="s">
        <v>108</v>
      </c>
      <c r="U3" s="89" t="s">
        <v>109</v>
      </c>
      <c r="V3" s="89" t="s">
        <v>110</v>
      </c>
      <c r="W3" s="89" t="s">
        <v>88</v>
      </c>
      <c r="X3" s="89" t="s">
        <v>96</v>
      </c>
      <c r="Y3" s="89" t="s">
        <v>139</v>
      </c>
      <c r="Z3" s="89" t="s">
        <v>140</v>
      </c>
      <c r="AA3" s="90"/>
    </row>
    <row r="4" spans="1:29" ht="13.5" customHeight="1" x14ac:dyDescent="0.2">
      <c r="A4" s="1" t="s">
        <v>237</v>
      </c>
      <c r="B4" s="57" t="s">
        <v>237</v>
      </c>
      <c r="C4" t="s">
        <v>163</v>
      </c>
      <c r="D4" t="s">
        <v>163</v>
      </c>
      <c r="E4" s="58" t="s">
        <v>163</v>
      </c>
      <c r="F4" s="50" t="s">
        <v>163</v>
      </c>
      <c r="G4" t="s">
        <v>163</v>
      </c>
      <c r="H4" s="1" t="s">
        <v>237</v>
      </c>
      <c r="I4" s="57" t="s">
        <v>237</v>
      </c>
      <c r="J4" t="s">
        <v>237</v>
      </c>
      <c r="K4" t="s">
        <v>163</v>
      </c>
      <c r="L4" t="s">
        <v>237</v>
      </c>
      <c r="M4" s="1" t="s">
        <v>237</v>
      </c>
      <c r="N4" t="s">
        <v>237</v>
      </c>
      <c r="O4" s="1" t="s">
        <v>237</v>
      </c>
      <c r="P4" t="s">
        <v>163</v>
      </c>
      <c r="Q4" t="s">
        <v>163</v>
      </c>
      <c r="R4" t="s">
        <v>163</v>
      </c>
      <c r="S4" t="s">
        <v>237</v>
      </c>
      <c r="T4" t="s">
        <v>163</v>
      </c>
      <c r="U4" t="s">
        <v>237</v>
      </c>
      <c r="V4" t="s">
        <v>237</v>
      </c>
      <c r="W4" s="73" t="s">
        <v>237</v>
      </c>
      <c r="X4" t="s">
        <v>237</v>
      </c>
      <c r="Y4">
        <f t="shared" ref="Y4:Y7" si="0">IF(X4="株式現物買",1,IF(X4="株式現物売",2,IF(X4="信用新規買",3,IF(X4="信用返済売",4,IF(X4="信用新規売",5,6)))))</f>
        <v>6</v>
      </c>
      <c r="Z4" s="85" t="e">
        <f t="shared" ref="Z4:Z7" si="1">IF(RIGHT(TRIM(X4),1)="買",-K4,K4)*R4</f>
        <v>#VALUE!</v>
      </c>
      <c r="AA4" s="85"/>
      <c r="AC4" s="22"/>
    </row>
    <row r="5" spans="1:29" ht="13.5" customHeight="1" x14ac:dyDescent="0.2">
      <c r="A5" s="1" t="s">
        <v>228</v>
      </c>
      <c r="B5" s="57" t="s">
        <v>62</v>
      </c>
      <c r="C5">
        <v>389</v>
      </c>
      <c r="D5">
        <v>392</v>
      </c>
      <c r="E5" s="58">
        <v>-3</v>
      </c>
      <c r="F5" s="50">
        <v>-7.7000000000000002E-3</v>
      </c>
      <c r="G5">
        <v>6265</v>
      </c>
      <c r="H5" s="1" t="s">
        <v>287</v>
      </c>
      <c r="I5" s="57" t="s">
        <v>277</v>
      </c>
      <c r="J5" t="s">
        <v>226</v>
      </c>
      <c r="K5">
        <v>390</v>
      </c>
      <c r="L5" t="s">
        <v>270</v>
      </c>
      <c r="M5" s="1" t="s">
        <v>275</v>
      </c>
      <c r="N5" t="s">
        <v>266</v>
      </c>
      <c r="O5" s="1" t="s">
        <v>264</v>
      </c>
      <c r="P5">
        <v>100</v>
      </c>
      <c r="Q5">
        <v>0</v>
      </c>
      <c r="R5">
        <v>100</v>
      </c>
      <c r="S5" t="s">
        <v>24</v>
      </c>
      <c r="U5" t="s">
        <v>282</v>
      </c>
      <c r="V5" t="s">
        <v>282</v>
      </c>
      <c r="W5" s="73" t="s">
        <v>220</v>
      </c>
      <c r="X5" t="s">
        <v>267</v>
      </c>
      <c r="Y5">
        <f t="shared" si="0"/>
        <v>3</v>
      </c>
      <c r="Z5" s="85">
        <f t="shared" si="1"/>
        <v>-39000</v>
      </c>
      <c r="AA5" s="85"/>
    </row>
    <row r="6" spans="1:29" ht="13.5" customHeight="1" x14ac:dyDescent="0.2">
      <c r="A6" s="1" t="s">
        <v>163</v>
      </c>
      <c r="B6" s="57" t="s">
        <v>163</v>
      </c>
      <c r="C6" t="s">
        <v>163</v>
      </c>
      <c r="D6" t="s">
        <v>163</v>
      </c>
      <c r="E6" s="58" t="s">
        <v>163</v>
      </c>
      <c r="F6" s="50" t="s">
        <v>163</v>
      </c>
      <c r="G6" t="s">
        <v>163</v>
      </c>
      <c r="H6" s="1" t="s">
        <v>163</v>
      </c>
      <c r="I6" s="57" t="s">
        <v>163</v>
      </c>
      <c r="J6" t="s">
        <v>163</v>
      </c>
      <c r="K6" t="s">
        <v>163</v>
      </c>
      <c r="L6" t="s">
        <v>163</v>
      </c>
      <c r="M6" s="1" t="s">
        <v>163</v>
      </c>
      <c r="N6" t="s">
        <v>163</v>
      </c>
      <c r="O6" s="1" t="s">
        <v>163</v>
      </c>
      <c r="P6" t="s">
        <v>163</v>
      </c>
      <c r="Q6" t="s">
        <v>163</v>
      </c>
      <c r="R6" t="s">
        <v>163</v>
      </c>
      <c r="S6" t="s">
        <v>163</v>
      </c>
      <c r="T6" t="s">
        <v>163</v>
      </c>
      <c r="U6" t="s">
        <v>163</v>
      </c>
      <c r="V6" t="s">
        <v>163</v>
      </c>
      <c r="W6" s="73" t="s">
        <v>163</v>
      </c>
      <c r="X6" t="s">
        <v>163</v>
      </c>
      <c r="Y6">
        <f t="shared" si="0"/>
        <v>6</v>
      </c>
      <c r="Z6" s="85" t="e">
        <f t="shared" si="1"/>
        <v>#VALUE!</v>
      </c>
      <c r="AA6" s="85"/>
      <c r="AC6" s="87"/>
    </row>
    <row r="7" spans="1:29" ht="13.5" customHeight="1" x14ac:dyDescent="0.2">
      <c r="A7" s="1"/>
      <c r="B7" s="57"/>
      <c r="E7" s="58"/>
      <c r="F7" s="50"/>
      <c r="H7" s="1"/>
      <c r="I7" s="57"/>
      <c r="M7" s="1"/>
      <c r="O7" s="1"/>
      <c r="W7" s="73"/>
      <c r="Y7">
        <f t="shared" si="0"/>
        <v>6</v>
      </c>
      <c r="Z7" s="85">
        <f t="shared" si="1"/>
        <v>0</v>
      </c>
      <c r="AA7" s="85"/>
      <c r="AC7" s="22"/>
    </row>
    <row r="8" spans="1:29" ht="13.5" customHeight="1" x14ac:dyDescent="0.2">
      <c r="A8" s="1"/>
      <c r="B8" s="57"/>
      <c r="E8" s="58"/>
      <c r="F8" s="50"/>
      <c r="H8" s="1"/>
      <c r="I8" s="57"/>
      <c r="M8" s="1"/>
      <c r="O8" s="1"/>
      <c r="W8" s="73"/>
      <c r="Y8">
        <f t="shared" ref="Y8:Y50" si="2">IF(X8="株式現物買",1,IF(X8="株式現物売",2,IF(X8="信用新規買",3,IF(X8="信用返済売",4,IF(X8="信用新規売",5,6)))))</f>
        <v>6</v>
      </c>
      <c r="Z8" s="85">
        <f t="shared" ref="Z8:Z50" si="3">IF(RIGHT(TRIM(X8),1)="買",-K8,K8)*R8</f>
        <v>0</v>
      </c>
      <c r="AA8" s="85"/>
    </row>
    <row r="9" spans="1:29" ht="13.5" customHeight="1" x14ac:dyDescent="0.2">
      <c r="A9" s="1"/>
      <c r="B9" s="57"/>
      <c r="E9" s="58"/>
      <c r="F9" s="50"/>
      <c r="H9" s="1"/>
      <c r="I9" s="57"/>
      <c r="M9" s="1"/>
      <c r="O9" s="1"/>
      <c r="W9" s="73"/>
      <c r="Y9">
        <f t="shared" si="2"/>
        <v>6</v>
      </c>
      <c r="Z9" s="85">
        <f t="shared" si="3"/>
        <v>0</v>
      </c>
      <c r="AA9" s="85"/>
    </row>
    <row r="10" spans="1:29" ht="13.5" customHeight="1" x14ac:dyDescent="0.2">
      <c r="A10" s="1"/>
      <c r="B10" s="57"/>
      <c r="E10" s="58"/>
      <c r="F10" s="50"/>
      <c r="H10" s="1"/>
      <c r="I10" s="57"/>
      <c r="M10" s="1"/>
      <c r="O10" s="1"/>
      <c r="W10" s="73"/>
      <c r="Y10">
        <f t="shared" si="2"/>
        <v>6</v>
      </c>
      <c r="Z10" s="85">
        <f t="shared" si="3"/>
        <v>0</v>
      </c>
      <c r="AA10" s="85"/>
    </row>
    <row r="11" spans="1:29" ht="13.5" customHeight="1" x14ac:dyDescent="0.2">
      <c r="A11" s="1"/>
      <c r="B11" s="57"/>
      <c r="E11" s="58"/>
      <c r="F11" s="50"/>
      <c r="H11" s="1"/>
      <c r="I11" s="57"/>
      <c r="M11" s="1"/>
      <c r="O11" s="1"/>
      <c r="W11" s="73"/>
      <c r="Y11">
        <f t="shared" si="2"/>
        <v>6</v>
      </c>
      <c r="Z11" s="85">
        <f t="shared" si="3"/>
        <v>0</v>
      </c>
      <c r="AA11" s="85"/>
    </row>
    <row r="12" spans="1:29" ht="13.5" customHeight="1" x14ac:dyDescent="0.2">
      <c r="A12" s="1"/>
      <c r="B12" s="57"/>
      <c r="E12" s="58"/>
      <c r="F12" s="50"/>
      <c r="H12" s="1"/>
      <c r="I12" s="57"/>
      <c r="M12" s="1"/>
      <c r="O12" s="1"/>
      <c r="W12" s="73"/>
      <c r="Y12">
        <f t="shared" si="2"/>
        <v>6</v>
      </c>
      <c r="Z12" s="85">
        <f t="shared" si="3"/>
        <v>0</v>
      </c>
      <c r="AA12" s="85"/>
    </row>
    <row r="13" spans="1:29" ht="13.5" customHeight="1" x14ac:dyDescent="0.2">
      <c r="A13" s="1"/>
      <c r="B13" s="57"/>
      <c r="E13" s="58"/>
      <c r="F13" s="50"/>
      <c r="H13" s="1"/>
      <c r="I13" s="57"/>
      <c r="M13" s="1"/>
      <c r="O13" s="1"/>
      <c r="W13" s="73"/>
      <c r="Y13">
        <f t="shared" si="2"/>
        <v>6</v>
      </c>
      <c r="Z13" s="85">
        <f t="shared" si="3"/>
        <v>0</v>
      </c>
      <c r="AA13" s="85"/>
    </row>
    <row r="14" spans="1:29" ht="13.5" customHeight="1" x14ac:dyDescent="0.2">
      <c r="A14" s="1"/>
      <c r="B14" s="57"/>
      <c r="E14" s="58"/>
      <c r="F14" s="50"/>
      <c r="H14" s="1"/>
      <c r="I14" s="57"/>
      <c r="M14" s="1"/>
      <c r="O14" s="1"/>
      <c r="W14" s="73"/>
      <c r="Y14">
        <f t="shared" si="2"/>
        <v>6</v>
      </c>
      <c r="Z14" s="85">
        <f t="shared" si="3"/>
        <v>0</v>
      </c>
      <c r="AA14" s="85"/>
    </row>
    <row r="15" spans="1:29" ht="13.5" customHeight="1" x14ac:dyDescent="0.2">
      <c r="A15" s="1"/>
      <c r="B15" s="57"/>
      <c r="E15" s="58"/>
      <c r="F15" s="50"/>
      <c r="H15" s="1"/>
      <c r="I15" s="57"/>
      <c r="M15" s="1"/>
      <c r="O15" s="1"/>
      <c r="W15" s="73"/>
      <c r="Y15">
        <f t="shared" si="2"/>
        <v>6</v>
      </c>
      <c r="Z15" s="85">
        <f t="shared" si="3"/>
        <v>0</v>
      </c>
      <c r="AA15" s="85"/>
    </row>
    <row r="16" spans="1:29" ht="13.5" customHeight="1" x14ac:dyDescent="0.2">
      <c r="A16" s="1"/>
      <c r="B16" s="57"/>
      <c r="E16" s="58"/>
      <c r="F16" s="50"/>
      <c r="H16" s="1"/>
      <c r="I16" s="57"/>
      <c r="M16" s="1"/>
      <c r="O16" s="1"/>
      <c r="W16" s="73"/>
      <c r="Y16">
        <f t="shared" si="2"/>
        <v>6</v>
      </c>
      <c r="Z16" s="85">
        <f t="shared" si="3"/>
        <v>0</v>
      </c>
      <c r="AA16" s="85"/>
    </row>
    <row r="17" spans="1:27" ht="13.5" customHeight="1" x14ac:dyDescent="0.2">
      <c r="A17" s="1"/>
      <c r="B17" s="57"/>
      <c r="E17" s="58"/>
      <c r="F17" s="50"/>
      <c r="H17" s="1"/>
      <c r="I17" s="57"/>
      <c r="M17" s="1"/>
      <c r="O17" s="1"/>
      <c r="W17" s="73"/>
      <c r="Y17">
        <f t="shared" si="2"/>
        <v>6</v>
      </c>
      <c r="Z17" s="85">
        <f t="shared" si="3"/>
        <v>0</v>
      </c>
      <c r="AA17" s="85"/>
    </row>
    <row r="18" spans="1:27" ht="13.5" customHeight="1" x14ac:dyDescent="0.2">
      <c r="A18" s="1"/>
      <c r="B18" s="57"/>
      <c r="E18" s="58"/>
      <c r="F18" s="50"/>
      <c r="H18" s="1"/>
      <c r="I18" s="57"/>
      <c r="M18" s="1"/>
      <c r="O18" s="1"/>
      <c r="W18" s="73"/>
      <c r="Y18">
        <f t="shared" si="2"/>
        <v>6</v>
      </c>
      <c r="Z18" s="85">
        <f t="shared" si="3"/>
        <v>0</v>
      </c>
      <c r="AA18" s="85"/>
    </row>
    <row r="19" spans="1:27" ht="13.5" customHeight="1" x14ac:dyDescent="0.2">
      <c r="A19" s="1"/>
      <c r="B19" s="57"/>
      <c r="E19" s="58"/>
      <c r="F19" s="50"/>
      <c r="H19" s="1"/>
      <c r="I19" s="57"/>
      <c r="M19" s="1"/>
      <c r="O19" s="1"/>
      <c r="W19" s="73"/>
      <c r="Y19">
        <f t="shared" si="2"/>
        <v>6</v>
      </c>
      <c r="Z19" s="85">
        <f t="shared" si="3"/>
        <v>0</v>
      </c>
      <c r="AA19" s="85"/>
    </row>
    <row r="20" spans="1:27" ht="13.5" customHeight="1" x14ac:dyDescent="0.2">
      <c r="A20" s="1"/>
      <c r="B20" s="57"/>
      <c r="E20" s="58"/>
      <c r="F20" s="50"/>
      <c r="H20" s="1"/>
      <c r="I20" s="57"/>
      <c r="M20" s="1"/>
      <c r="O20" s="1"/>
      <c r="W20" s="73"/>
      <c r="Y20">
        <f t="shared" si="2"/>
        <v>6</v>
      </c>
      <c r="Z20" s="85">
        <f t="shared" si="3"/>
        <v>0</v>
      </c>
      <c r="AA20" s="85"/>
    </row>
    <row r="21" spans="1:27" ht="13.5" customHeight="1" x14ac:dyDescent="0.2">
      <c r="A21" s="1"/>
      <c r="B21" s="57"/>
      <c r="E21" s="58"/>
      <c r="F21" s="50"/>
      <c r="H21" s="1"/>
      <c r="I21" s="57"/>
      <c r="M21" s="1"/>
      <c r="O21" s="1"/>
      <c r="W21" s="73"/>
      <c r="Y21">
        <f t="shared" si="2"/>
        <v>6</v>
      </c>
      <c r="Z21" s="85">
        <f t="shared" si="3"/>
        <v>0</v>
      </c>
      <c r="AA21" s="85"/>
    </row>
    <row r="22" spans="1:27" ht="13.5" customHeight="1" x14ac:dyDescent="0.2">
      <c r="A22" s="1"/>
      <c r="B22" s="57"/>
      <c r="E22" s="58"/>
      <c r="F22" s="50"/>
      <c r="H22" s="1"/>
      <c r="I22" s="57"/>
      <c r="M22" s="1"/>
      <c r="O22" s="1"/>
      <c r="W22" s="73"/>
      <c r="Y22">
        <f t="shared" si="2"/>
        <v>6</v>
      </c>
      <c r="Z22" s="85">
        <f t="shared" si="3"/>
        <v>0</v>
      </c>
      <c r="AA22" s="85"/>
    </row>
    <row r="23" spans="1:27" ht="13.5" customHeight="1" x14ac:dyDescent="0.2">
      <c r="A23" s="1"/>
      <c r="B23" s="57"/>
      <c r="E23" s="58"/>
      <c r="F23" s="50"/>
      <c r="H23" s="1"/>
      <c r="I23" s="57"/>
      <c r="M23" s="1"/>
      <c r="O23" s="1"/>
      <c r="W23" s="73"/>
      <c r="Y23">
        <f t="shared" si="2"/>
        <v>6</v>
      </c>
      <c r="Z23" s="85">
        <f t="shared" si="3"/>
        <v>0</v>
      </c>
      <c r="AA23" s="85"/>
    </row>
    <row r="24" spans="1:27" ht="13.5" customHeight="1" x14ac:dyDescent="0.2">
      <c r="A24" s="1"/>
      <c r="B24" s="57"/>
      <c r="E24" s="58"/>
      <c r="F24" s="50"/>
      <c r="H24" s="1"/>
      <c r="I24" s="57"/>
      <c r="M24" s="1"/>
      <c r="O24" s="1"/>
      <c r="W24" s="73"/>
      <c r="Y24">
        <f t="shared" si="2"/>
        <v>6</v>
      </c>
      <c r="Z24" s="85">
        <f t="shared" si="3"/>
        <v>0</v>
      </c>
      <c r="AA24" s="85"/>
    </row>
    <row r="25" spans="1:27" ht="13.5" customHeight="1" x14ac:dyDescent="0.2">
      <c r="A25" s="1"/>
      <c r="B25" s="57"/>
      <c r="E25" s="58"/>
      <c r="F25" s="50"/>
      <c r="H25" s="1"/>
      <c r="I25" s="57"/>
      <c r="M25" s="1"/>
      <c r="O25" s="1"/>
      <c r="W25" s="73"/>
      <c r="Y25">
        <f t="shared" si="2"/>
        <v>6</v>
      </c>
      <c r="Z25" s="85">
        <f t="shared" si="3"/>
        <v>0</v>
      </c>
      <c r="AA25" s="85"/>
    </row>
    <row r="26" spans="1:27" ht="13.5" customHeight="1" x14ac:dyDescent="0.2">
      <c r="A26" s="1"/>
      <c r="B26" s="57"/>
      <c r="E26" s="58"/>
      <c r="F26" s="50"/>
      <c r="H26" s="1"/>
      <c r="I26" s="57"/>
      <c r="M26" s="1"/>
      <c r="O26" s="1"/>
      <c r="W26" s="73"/>
      <c r="Y26">
        <f t="shared" si="2"/>
        <v>6</v>
      </c>
      <c r="Z26" s="85">
        <f t="shared" si="3"/>
        <v>0</v>
      </c>
      <c r="AA26" s="85"/>
    </row>
    <row r="27" spans="1:27" ht="13.5" customHeight="1" x14ac:dyDescent="0.2">
      <c r="A27" s="1"/>
      <c r="B27" s="57"/>
      <c r="E27" s="58"/>
      <c r="F27" s="50"/>
      <c r="H27" s="1"/>
      <c r="I27" s="57"/>
      <c r="M27" s="1"/>
      <c r="O27" s="1"/>
      <c r="W27" s="73"/>
      <c r="Y27">
        <f t="shared" si="2"/>
        <v>6</v>
      </c>
      <c r="Z27" s="85">
        <f t="shared" si="3"/>
        <v>0</v>
      </c>
      <c r="AA27" s="85"/>
    </row>
    <row r="28" spans="1:27" ht="13.5" customHeight="1" x14ac:dyDescent="0.2">
      <c r="A28" s="1"/>
      <c r="B28" s="57"/>
      <c r="E28" s="58"/>
      <c r="F28" s="50"/>
      <c r="H28" s="1"/>
      <c r="I28" s="57"/>
      <c r="M28" s="1"/>
      <c r="O28" s="1"/>
      <c r="W28" s="73"/>
      <c r="Y28">
        <f t="shared" si="2"/>
        <v>6</v>
      </c>
      <c r="Z28" s="85">
        <f t="shared" si="3"/>
        <v>0</v>
      </c>
      <c r="AA28" s="85"/>
    </row>
    <row r="29" spans="1:27" ht="13.5" customHeight="1" x14ac:dyDescent="0.2">
      <c r="A29" s="1"/>
      <c r="B29" s="57"/>
      <c r="E29" s="58"/>
      <c r="H29" s="1"/>
      <c r="I29" s="57"/>
      <c r="M29" s="1"/>
      <c r="O29" s="1"/>
      <c r="W29" s="73"/>
      <c r="Y29">
        <f t="shared" si="2"/>
        <v>6</v>
      </c>
      <c r="Z29" s="85">
        <f t="shared" si="3"/>
        <v>0</v>
      </c>
      <c r="AA29" s="85"/>
    </row>
    <row r="30" spans="1:27" ht="13.5" customHeight="1" x14ac:dyDescent="0.2">
      <c r="A30" s="1"/>
      <c r="B30" s="57"/>
      <c r="E30" s="58"/>
      <c r="H30" s="1"/>
      <c r="I30" s="57"/>
      <c r="M30" s="1"/>
      <c r="O30" s="1"/>
      <c r="W30" s="73"/>
      <c r="Y30">
        <f t="shared" si="2"/>
        <v>6</v>
      </c>
      <c r="Z30" s="85">
        <f t="shared" si="3"/>
        <v>0</v>
      </c>
      <c r="AA30" s="85"/>
    </row>
    <row r="31" spans="1:27" ht="13.5" customHeight="1" x14ac:dyDescent="0.2">
      <c r="A31" s="1"/>
      <c r="B31" s="57"/>
      <c r="E31" s="58"/>
      <c r="H31" s="1"/>
      <c r="I31" s="57"/>
      <c r="M31" s="1"/>
      <c r="O31" s="1"/>
      <c r="W31" s="73"/>
      <c r="Y31">
        <f t="shared" si="2"/>
        <v>6</v>
      </c>
      <c r="Z31" s="85">
        <f t="shared" si="3"/>
        <v>0</v>
      </c>
      <c r="AA31" s="85"/>
    </row>
    <row r="32" spans="1:27" ht="13.5" customHeight="1" x14ac:dyDescent="0.2">
      <c r="A32" s="1"/>
      <c r="B32" s="57"/>
      <c r="E32" s="58"/>
      <c r="H32" s="1"/>
      <c r="I32" s="57"/>
      <c r="M32" s="1"/>
      <c r="O32" s="1"/>
      <c r="W32" s="73"/>
      <c r="Y32">
        <f t="shared" si="2"/>
        <v>6</v>
      </c>
      <c r="Z32" s="85">
        <f t="shared" si="3"/>
        <v>0</v>
      </c>
      <c r="AA32" s="85"/>
    </row>
    <row r="33" spans="1:27" ht="13.5" customHeight="1" x14ac:dyDescent="0.2">
      <c r="A33" s="1"/>
      <c r="B33" s="57"/>
      <c r="E33" s="58"/>
      <c r="H33" s="1"/>
      <c r="I33" s="57"/>
      <c r="M33" s="1"/>
      <c r="O33" s="1"/>
      <c r="W33" s="73"/>
      <c r="Y33">
        <f t="shared" si="2"/>
        <v>6</v>
      </c>
      <c r="Z33" s="85">
        <f t="shared" si="3"/>
        <v>0</v>
      </c>
      <c r="AA33" s="85"/>
    </row>
    <row r="34" spans="1:27" ht="13.5" customHeight="1" x14ac:dyDescent="0.2">
      <c r="A34" s="1"/>
      <c r="B34" s="57"/>
      <c r="E34" s="58"/>
      <c r="H34" s="1"/>
      <c r="I34" s="57"/>
      <c r="M34" s="1"/>
      <c r="O34" s="1"/>
      <c r="W34" s="73"/>
      <c r="Y34">
        <f t="shared" si="2"/>
        <v>6</v>
      </c>
      <c r="Z34" s="85">
        <f t="shared" si="3"/>
        <v>0</v>
      </c>
      <c r="AA34" s="85"/>
    </row>
    <row r="35" spans="1:27" ht="13.5" customHeight="1" x14ac:dyDescent="0.2">
      <c r="A35" s="1"/>
      <c r="B35" s="57"/>
      <c r="E35" s="58"/>
      <c r="H35" s="1"/>
      <c r="I35" s="57"/>
      <c r="M35" s="1"/>
      <c r="O35" s="1"/>
      <c r="W35" s="73"/>
      <c r="Y35">
        <f t="shared" si="2"/>
        <v>6</v>
      </c>
      <c r="Z35" s="85">
        <f t="shared" si="3"/>
        <v>0</v>
      </c>
      <c r="AA35" s="85"/>
    </row>
    <row r="36" spans="1:27" ht="13.5" customHeight="1" x14ac:dyDescent="0.2">
      <c r="A36" s="1"/>
      <c r="B36" s="57"/>
      <c r="E36" s="58"/>
      <c r="H36" s="1"/>
      <c r="I36" s="57"/>
      <c r="M36" s="1"/>
      <c r="O36" s="1"/>
      <c r="W36" s="73"/>
      <c r="Y36">
        <f t="shared" si="2"/>
        <v>6</v>
      </c>
      <c r="Z36" s="85">
        <f t="shared" si="3"/>
        <v>0</v>
      </c>
      <c r="AA36" s="85"/>
    </row>
    <row r="37" spans="1:27" ht="13.5" customHeight="1" x14ac:dyDescent="0.2">
      <c r="A37" s="1"/>
      <c r="B37" s="57"/>
      <c r="E37" s="58"/>
      <c r="H37" s="1"/>
      <c r="I37" s="57"/>
      <c r="M37" s="1"/>
      <c r="O37" s="1"/>
      <c r="W37" s="73"/>
      <c r="Y37">
        <f t="shared" si="2"/>
        <v>6</v>
      </c>
      <c r="Z37" s="85">
        <f t="shared" si="3"/>
        <v>0</v>
      </c>
      <c r="AA37" s="85"/>
    </row>
    <row r="38" spans="1:27" ht="13.5" customHeight="1" x14ac:dyDescent="0.2">
      <c r="A38" s="1"/>
      <c r="B38" s="57"/>
      <c r="E38" s="58"/>
      <c r="H38" s="1"/>
      <c r="I38" s="57"/>
      <c r="M38" s="1"/>
      <c r="O38" s="1"/>
      <c r="W38" s="73"/>
      <c r="Y38">
        <f t="shared" si="2"/>
        <v>6</v>
      </c>
      <c r="Z38" s="85">
        <f t="shared" si="3"/>
        <v>0</v>
      </c>
      <c r="AA38" s="85"/>
    </row>
    <row r="39" spans="1:27" ht="13.5" customHeight="1" x14ac:dyDescent="0.2">
      <c r="A39" s="1"/>
      <c r="B39" s="57"/>
      <c r="E39" s="58"/>
      <c r="H39" s="1"/>
      <c r="I39" s="57"/>
      <c r="M39" s="1"/>
      <c r="O39" s="1"/>
      <c r="W39" s="73"/>
      <c r="Y39">
        <f t="shared" si="2"/>
        <v>6</v>
      </c>
      <c r="Z39" s="85">
        <f t="shared" si="3"/>
        <v>0</v>
      </c>
      <c r="AA39" s="85"/>
    </row>
    <row r="40" spans="1:27" ht="13.5" customHeight="1" x14ac:dyDescent="0.2">
      <c r="A40" s="1"/>
      <c r="B40" s="57"/>
      <c r="E40" s="58"/>
      <c r="H40" s="1"/>
      <c r="I40" s="57"/>
      <c r="M40" s="1"/>
      <c r="O40" s="1"/>
      <c r="W40" s="73"/>
      <c r="Y40">
        <f t="shared" si="2"/>
        <v>6</v>
      </c>
      <c r="Z40" s="85">
        <f t="shared" si="3"/>
        <v>0</v>
      </c>
      <c r="AA40" s="85"/>
    </row>
    <row r="41" spans="1:27" ht="13.5" customHeight="1" x14ac:dyDescent="0.2">
      <c r="A41" s="1"/>
      <c r="B41" s="57"/>
      <c r="E41" s="58"/>
      <c r="H41" s="1"/>
      <c r="I41" s="57"/>
      <c r="M41" s="1"/>
      <c r="O41" s="1"/>
      <c r="W41" s="73"/>
      <c r="Y41">
        <f t="shared" si="2"/>
        <v>6</v>
      </c>
      <c r="Z41" s="85">
        <f t="shared" si="3"/>
        <v>0</v>
      </c>
      <c r="AA41" s="85"/>
    </row>
    <row r="42" spans="1:27" ht="13.5" customHeight="1" x14ac:dyDescent="0.2">
      <c r="A42" s="1"/>
      <c r="B42" s="57"/>
      <c r="E42" s="58"/>
      <c r="H42" s="1"/>
      <c r="I42" s="57"/>
      <c r="M42" s="1"/>
      <c r="O42" s="1"/>
      <c r="W42" s="73"/>
      <c r="Y42">
        <f t="shared" si="2"/>
        <v>6</v>
      </c>
      <c r="Z42" s="85">
        <f t="shared" si="3"/>
        <v>0</v>
      </c>
      <c r="AA42" s="85"/>
    </row>
    <row r="43" spans="1:27" ht="13.5" customHeight="1" x14ac:dyDescent="0.2">
      <c r="A43" s="1"/>
      <c r="B43" s="57"/>
      <c r="E43" s="58"/>
      <c r="H43" s="1"/>
      <c r="I43" s="57"/>
      <c r="M43" s="1"/>
      <c r="O43" s="1"/>
      <c r="W43" s="73"/>
      <c r="Y43">
        <f t="shared" si="2"/>
        <v>6</v>
      </c>
      <c r="Z43" s="85">
        <f t="shared" si="3"/>
        <v>0</v>
      </c>
      <c r="AA43" s="85"/>
    </row>
    <row r="44" spans="1:27" ht="13.5" customHeight="1" x14ac:dyDescent="0.2">
      <c r="A44" s="1"/>
      <c r="B44" s="57"/>
      <c r="E44" s="58"/>
      <c r="H44" s="1"/>
      <c r="I44" s="57"/>
      <c r="M44" s="1"/>
      <c r="O44" s="1"/>
      <c r="W44" s="73"/>
      <c r="Y44">
        <f t="shared" si="2"/>
        <v>6</v>
      </c>
      <c r="Z44" s="85">
        <f t="shared" si="3"/>
        <v>0</v>
      </c>
      <c r="AA44" s="85"/>
    </row>
    <row r="45" spans="1:27" ht="13.5" customHeight="1" x14ac:dyDescent="0.2">
      <c r="A45" s="1"/>
      <c r="B45" s="57"/>
      <c r="E45" s="58"/>
      <c r="H45" s="1"/>
      <c r="I45" s="57"/>
      <c r="M45" s="1"/>
      <c r="O45" s="1"/>
      <c r="W45" s="73"/>
      <c r="Y45">
        <f t="shared" si="2"/>
        <v>6</v>
      </c>
      <c r="Z45" s="85">
        <f t="shared" si="3"/>
        <v>0</v>
      </c>
      <c r="AA45" s="85"/>
    </row>
    <row r="46" spans="1:27" ht="13.5" customHeight="1" x14ac:dyDescent="0.2">
      <c r="A46" s="1"/>
      <c r="B46" s="57"/>
      <c r="E46" s="58"/>
      <c r="H46" s="1"/>
      <c r="I46" s="57"/>
      <c r="M46" s="1"/>
      <c r="O46" s="1"/>
      <c r="W46" s="73"/>
      <c r="Y46">
        <f t="shared" si="2"/>
        <v>6</v>
      </c>
      <c r="Z46" s="85">
        <f t="shared" si="3"/>
        <v>0</v>
      </c>
      <c r="AA46" s="85"/>
    </row>
    <row r="47" spans="1:27" ht="13.5" customHeight="1" x14ac:dyDescent="0.2">
      <c r="A47" s="1"/>
      <c r="B47" s="57"/>
      <c r="E47" s="58"/>
      <c r="H47" s="1"/>
      <c r="I47" s="57"/>
      <c r="M47" s="1"/>
      <c r="O47" s="1"/>
      <c r="W47" s="73"/>
      <c r="Y47">
        <f t="shared" si="2"/>
        <v>6</v>
      </c>
      <c r="Z47" s="85">
        <f t="shared" si="3"/>
        <v>0</v>
      </c>
      <c r="AA47" s="85"/>
    </row>
    <row r="48" spans="1:27" ht="13.5" customHeight="1" x14ac:dyDescent="0.2">
      <c r="A48" s="1"/>
      <c r="B48" s="57"/>
      <c r="E48" s="58"/>
      <c r="H48" s="1"/>
      <c r="I48" s="57"/>
      <c r="M48" s="1"/>
      <c r="O48" s="1"/>
      <c r="W48" s="73"/>
      <c r="Y48">
        <f t="shared" si="2"/>
        <v>6</v>
      </c>
      <c r="Z48" s="85">
        <f t="shared" si="3"/>
        <v>0</v>
      </c>
      <c r="AA48" s="85"/>
    </row>
    <row r="49" spans="1:27" ht="13.5" customHeight="1" x14ac:dyDescent="0.2">
      <c r="A49" s="1"/>
      <c r="B49" s="57"/>
      <c r="E49" s="58"/>
      <c r="H49" s="1"/>
      <c r="I49" s="57"/>
      <c r="M49" s="1"/>
      <c r="O49" s="1"/>
      <c r="W49" s="73"/>
      <c r="Y49">
        <f t="shared" si="2"/>
        <v>6</v>
      </c>
      <c r="Z49" s="85">
        <f t="shared" si="3"/>
        <v>0</v>
      </c>
      <c r="AA49" s="85"/>
    </row>
    <row r="50" spans="1:27" ht="13.5" customHeight="1" x14ac:dyDescent="0.2">
      <c r="A50" s="1"/>
      <c r="B50" s="57"/>
      <c r="E50" s="58"/>
      <c r="H50" s="1"/>
      <c r="I50" s="57"/>
      <c r="M50" s="1"/>
      <c r="O50" s="1"/>
      <c r="W50" s="57"/>
      <c r="Y50">
        <f t="shared" si="2"/>
        <v>6</v>
      </c>
      <c r="Z50" s="85">
        <f t="shared" si="3"/>
        <v>0</v>
      </c>
      <c r="AA50" s="85"/>
    </row>
    <row r="51" spans="1:27" ht="13.5" customHeight="1" x14ac:dyDescent="0.2">
      <c r="A51" s="1"/>
      <c r="B51" s="57"/>
      <c r="E51" s="58"/>
      <c r="H51" s="1"/>
      <c r="I51" s="57"/>
      <c r="M51" s="1"/>
      <c r="O51" s="1"/>
      <c r="W51" s="57"/>
    </row>
    <row r="52" spans="1:27" ht="13.5" customHeight="1" x14ac:dyDescent="0.2">
      <c r="A52" s="1"/>
      <c r="B52" s="57"/>
      <c r="E52" s="58"/>
      <c r="H52" s="1"/>
      <c r="I52" s="57"/>
      <c r="M52" s="1"/>
      <c r="O52" s="1"/>
      <c r="W52" s="57"/>
    </row>
    <row r="53" spans="1:27" ht="13.5" customHeight="1" x14ac:dyDescent="0.2">
      <c r="A53" s="1"/>
      <c r="B53" s="57"/>
      <c r="E53" s="58"/>
      <c r="H53" s="1"/>
      <c r="I53" s="57"/>
      <c r="M53" s="1"/>
      <c r="O53" s="1"/>
      <c r="W53" s="57"/>
    </row>
    <row r="54" spans="1:27" ht="13.5" customHeight="1" x14ac:dyDescent="0.2">
      <c r="A54" s="1"/>
      <c r="B54" s="57"/>
      <c r="E54" s="58"/>
      <c r="H54" s="1"/>
      <c r="I54" s="57"/>
      <c r="M54" s="1"/>
      <c r="O54" s="1"/>
      <c r="W54" s="57"/>
    </row>
    <row r="55" spans="1:27" ht="13.5" customHeight="1" x14ac:dyDescent="0.2">
      <c r="A55" s="1"/>
      <c r="B55" s="57"/>
      <c r="E55" s="58"/>
      <c r="H55" s="1"/>
      <c r="I55" s="57"/>
      <c r="M55" s="1"/>
      <c r="O55" s="1"/>
      <c r="W55" s="57"/>
    </row>
    <row r="56" spans="1:27" ht="13.5" customHeight="1" x14ac:dyDescent="0.2">
      <c r="A56" s="1"/>
      <c r="B56" s="57"/>
      <c r="E56" s="58"/>
      <c r="H56" s="1"/>
      <c r="I56" s="57"/>
      <c r="M56" s="1"/>
      <c r="O56" s="1"/>
      <c r="W56" s="57"/>
    </row>
    <row r="57" spans="1:27" ht="13.5" customHeight="1" x14ac:dyDescent="0.2">
      <c r="A57" s="1"/>
      <c r="B57" s="57"/>
      <c r="E57" s="58"/>
      <c r="H57" s="1"/>
      <c r="I57" s="57"/>
      <c r="M57" s="1"/>
      <c r="O57" s="1"/>
      <c r="W57" s="57"/>
    </row>
    <row r="58" spans="1:27" ht="13.5" customHeight="1" x14ac:dyDescent="0.2">
      <c r="A58" s="1"/>
      <c r="B58" s="57"/>
      <c r="E58" s="58"/>
      <c r="H58" s="1"/>
      <c r="I58" s="57"/>
      <c r="M58" s="1"/>
      <c r="O58" s="1"/>
      <c r="W58" s="57"/>
    </row>
    <row r="59" spans="1:27" ht="13.5" customHeight="1" x14ac:dyDescent="0.2">
      <c r="A59" s="1"/>
      <c r="B59" s="57"/>
      <c r="E59" s="58"/>
      <c r="H59" s="1"/>
      <c r="I59" s="57"/>
      <c r="M59" s="1"/>
      <c r="O59" s="1"/>
      <c r="W59" s="57"/>
    </row>
    <row r="60" spans="1:27" ht="13.5" customHeight="1" x14ac:dyDescent="0.2">
      <c r="A60" s="1"/>
      <c r="B60" s="57"/>
      <c r="E60" s="58"/>
      <c r="H60" s="1"/>
      <c r="I60" s="57"/>
      <c r="M60" s="1"/>
      <c r="O60" s="1"/>
      <c r="W60" s="57"/>
    </row>
    <row r="61" spans="1:27" ht="13.5" customHeight="1" x14ac:dyDescent="0.2">
      <c r="A61" s="1"/>
      <c r="B61" s="57"/>
      <c r="E61" s="58"/>
      <c r="H61" s="1"/>
      <c r="I61" s="57"/>
      <c r="M61" s="1"/>
      <c r="O61" s="1"/>
      <c r="W61" s="57"/>
    </row>
    <row r="62" spans="1:27" ht="13.5" customHeight="1" x14ac:dyDescent="0.2">
      <c r="A62" s="1"/>
      <c r="B62" s="57"/>
      <c r="E62" s="58"/>
      <c r="H62" s="1"/>
      <c r="I62" s="57"/>
      <c r="M62" s="1"/>
      <c r="O62" s="1"/>
      <c r="W62" s="57"/>
    </row>
    <row r="63" spans="1:27" ht="13.5" customHeight="1" x14ac:dyDescent="0.2">
      <c r="A63" s="1"/>
      <c r="B63" s="57"/>
      <c r="E63" s="58"/>
      <c r="H63" s="1"/>
      <c r="I63" s="57"/>
      <c r="M63" s="1"/>
      <c r="O63" s="1"/>
      <c r="W63" s="57"/>
    </row>
    <row r="64" spans="1:27" ht="13.5" customHeight="1" x14ac:dyDescent="0.2">
      <c r="A64" s="1"/>
      <c r="B64" s="57"/>
      <c r="E64" s="58"/>
      <c r="H64" s="1"/>
      <c r="I64" s="57"/>
      <c r="M64" s="1"/>
      <c r="O64" s="1"/>
      <c r="W64" s="57"/>
    </row>
    <row r="65" spans="1:23" ht="13.5" customHeight="1" x14ac:dyDescent="0.2">
      <c r="A65" s="1"/>
      <c r="B65" s="57"/>
      <c r="E65" s="58"/>
      <c r="H65" s="1"/>
      <c r="I65" s="57"/>
      <c r="M65" s="1"/>
      <c r="O65" s="1"/>
      <c r="W65" s="57"/>
    </row>
    <row r="66" spans="1:23" ht="13.5" customHeight="1" x14ac:dyDescent="0.2">
      <c r="A66" s="1"/>
      <c r="B66" s="57"/>
      <c r="E66" s="58"/>
      <c r="H66" s="1"/>
      <c r="I66" s="57"/>
      <c r="M66" s="1"/>
      <c r="O66" s="1"/>
      <c r="W66" s="57"/>
    </row>
    <row r="67" spans="1:23" ht="13.5" customHeight="1" x14ac:dyDescent="0.2">
      <c r="A67" s="1"/>
      <c r="B67" s="57"/>
      <c r="E67" s="58"/>
      <c r="H67" s="1"/>
      <c r="I67" s="57"/>
      <c r="M67" s="1"/>
      <c r="O67" s="1"/>
      <c r="W67" s="57"/>
    </row>
    <row r="68" spans="1:23" ht="13.5" customHeight="1" x14ac:dyDescent="0.2">
      <c r="A68" s="1"/>
      <c r="B68" s="57"/>
      <c r="E68" s="58"/>
      <c r="H68" s="1"/>
      <c r="I68" s="57"/>
      <c r="M68" s="1"/>
      <c r="O68" s="1"/>
      <c r="W68" s="57"/>
    </row>
    <row r="69" spans="1:23" ht="13.5" customHeight="1" x14ac:dyDescent="0.2">
      <c r="A69" s="1"/>
      <c r="B69" s="57"/>
      <c r="E69" s="58"/>
      <c r="H69" s="1"/>
      <c r="I69" s="57"/>
      <c r="M69" s="1"/>
      <c r="O69" s="1"/>
      <c r="W69" s="57"/>
    </row>
    <row r="70" spans="1:23" ht="13.5" customHeight="1" x14ac:dyDescent="0.2">
      <c r="A70" s="1"/>
      <c r="B70" s="57"/>
      <c r="E70" s="58"/>
      <c r="H70" s="1"/>
      <c r="I70" s="57"/>
      <c r="M70" s="1"/>
      <c r="O70" s="1"/>
      <c r="W70" s="57"/>
    </row>
    <row r="71" spans="1:23" ht="13.5" customHeight="1" x14ac:dyDescent="0.2">
      <c r="A71" s="1"/>
      <c r="B71" s="57"/>
      <c r="E71" s="58"/>
      <c r="H71" s="1"/>
      <c r="I71" s="57"/>
      <c r="M71" s="1"/>
      <c r="O71" s="1"/>
      <c r="W71" s="57"/>
    </row>
    <row r="72" spans="1:23" ht="13.5" customHeight="1" x14ac:dyDescent="0.2">
      <c r="A72" s="1"/>
      <c r="B72" s="57"/>
      <c r="E72" s="58"/>
      <c r="H72" s="1"/>
      <c r="I72" s="57"/>
      <c r="M72" s="1"/>
      <c r="O72" s="1"/>
      <c r="W72" s="57"/>
    </row>
    <row r="73" spans="1:23" ht="13.5" customHeight="1" x14ac:dyDescent="0.2">
      <c r="A73" s="1"/>
      <c r="B73" s="57"/>
      <c r="E73" s="58"/>
      <c r="H73" s="1"/>
      <c r="I73" s="57"/>
      <c r="M73" s="1"/>
      <c r="O73" s="1"/>
      <c r="W73" s="57"/>
    </row>
    <row r="74" spans="1:23" ht="13.5" customHeight="1" x14ac:dyDescent="0.2">
      <c r="A74" s="1"/>
      <c r="B74" s="57"/>
      <c r="E74" s="58"/>
      <c r="H74" s="1"/>
      <c r="I74" s="57"/>
      <c r="M74" s="1"/>
      <c r="O74" s="1"/>
      <c r="W74" s="57"/>
    </row>
    <row r="75" spans="1:23" ht="13.5" customHeight="1" x14ac:dyDescent="0.2">
      <c r="A75" s="1"/>
      <c r="B75" s="57"/>
      <c r="E75" s="58"/>
      <c r="H75" s="1"/>
      <c r="I75" s="57"/>
      <c r="M75" s="1"/>
      <c r="O75" s="1"/>
      <c r="W75" s="57"/>
    </row>
    <row r="76" spans="1:23" ht="13.5" customHeight="1" x14ac:dyDescent="0.2">
      <c r="A76" s="1"/>
      <c r="B76" s="57"/>
      <c r="E76" s="58"/>
      <c r="H76" s="1"/>
      <c r="I76" s="57"/>
      <c r="M76" s="1"/>
      <c r="O76" s="1"/>
      <c r="W76" s="57"/>
    </row>
    <row r="77" spans="1:23" ht="13.5" customHeight="1" x14ac:dyDescent="0.2">
      <c r="A77" s="1"/>
      <c r="B77" s="57"/>
      <c r="E77" s="58"/>
      <c r="H77" s="1"/>
      <c r="I77" s="57"/>
      <c r="M77" s="1"/>
      <c r="O77" s="1"/>
      <c r="W77" s="57"/>
    </row>
    <row r="78" spans="1:23" ht="13.5" customHeight="1" x14ac:dyDescent="0.2">
      <c r="A78" s="1"/>
      <c r="B78" s="57"/>
      <c r="E78" s="58"/>
      <c r="H78" s="1"/>
      <c r="M78" s="1"/>
      <c r="O78" s="1"/>
      <c r="W78" s="57"/>
    </row>
    <row r="79" spans="1:23" ht="13.5" customHeight="1" x14ac:dyDescent="0.2">
      <c r="A79" s="1"/>
      <c r="B79" s="57"/>
      <c r="E79" s="58"/>
      <c r="H79" s="1"/>
      <c r="M79" s="1"/>
      <c r="O79" s="1"/>
      <c r="W79" s="57"/>
    </row>
    <row r="80" spans="1:23" ht="13.5" customHeight="1" x14ac:dyDescent="0.2">
      <c r="A80" s="1"/>
      <c r="B80" s="57"/>
      <c r="E80" s="58"/>
      <c r="H80" s="1"/>
      <c r="M80" s="1"/>
      <c r="O80" s="1"/>
      <c r="W80" s="57"/>
    </row>
    <row r="81" spans="1:23" ht="13.5" customHeight="1" x14ac:dyDescent="0.2">
      <c r="A81" s="1"/>
      <c r="B81" s="57"/>
      <c r="E81" s="58"/>
      <c r="H81" s="1"/>
      <c r="M81" s="1"/>
      <c r="O81" s="1"/>
      <c r="W81" s="57"/>
    </row>
    <row r="82" spans="1:23" ht="13.5" customHeight="1" x14ac:dyDescent="0.2">
      <c r="A82" s="1"/>
      <c r="B82" s="57"/>
      <c r="E82" s="58"/>
      <c r="H82" s="1"/>
      <c r="M82" s="1"/>
      <c r="O82" s="1"/>
      <c r="W82" s="57"/>
    </row>
    <row r="83" spans="1:23" ht="13.5" customHeight="1" x14ac:dyDescent="0.2">
      <c r="A83" s="1"/>
      <c r="H83" s="1"/>
    </row>
    <row r="84" spans="1:23" ht="13.5" customHeight="1" x14ac:dyDescent="0.2">
      <c r="A84" s="1"/>
      <c r="H84" s="1"/>
    </row>
    <row r="85" spans="1:23" ht="13.5" customHeight="1" x14ac:dyDescent="0.2">
      <c r="A85" s="1"/>
      <c r="H85" s="1"/>
    </row>
    <row r="86" spans="1:23" ht="13.5" customHeight="1" x14ac:dyDescent="0.2">
      <c r="A86" s="1"/>
      <c r="H86" s="1"/>
    </row>
    <row r="87" spans="1:23" ht="13.5" customHeight="1" x14ac:dyDescent="0.2">
      <c r="A87" s="1"/>
      <c r="H87" s="1"/>
    </row>
    <row r="88" spans="1:23" ht="13.5" customHeight="1" x14ac:dyDescent="0.2">
      <c r="A88" s="1"/>
      <c r="H88" s="1"/>
    </row>
    <row r="89" spans="1:23" ht="13.5" customHeight="1" x14ac:dyDescent="0.2">
      <c r="A89" s="1"/>
      <c r="H89" s="1"/>
    </row>
    <row r="90" spans="1:23" ht="13.5" customHeight="1" x14ac:dyDescent="0.2">
      <c r="A90" s="1"/>
      <c r="H90" s="1"/>
    </row>
    <row r="91" spans="1:23" ht="13.5" customHeight="1" x14ac:dyDescent="0.2">
      <c r="A91" s="1"/>
      <c r="H91" s="1"/>
    </row>
    <row r="92" spans="1:23" ht="13.5" customHeight="1" x14ac:dyDescent="0.2"/>
  </sheetData>
  <mergeCells count="1">
    <mergeCell ref="A2:Z2"/>
  </mergeCells>
  <phoneticPr fontId="3"/>
  <pageMargins left="0.75" right="0.75" top="1" bottom="1" header="0.51200000000000001" footer="0.51200000000000001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ソート">
                <anchor moveWithCells="1" sizeWithCells="1">
                  <from>
                    <xdr:col>27</xdr:col>
                    <xdr:colOff>679450</xdr:colOff>
                    <xdr:row>2</xdr:row>
                    <xdr:rowOff>12700</xdr:rowOff>
                  </from>
                  <to>
                    <xdr:col>29</xdr:col>
                    <xdr:colOff>31750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100"/>
  <sheetViews>
    <sheetView zoomScale="50" zoomScaleNormal="50" workbookViewId="0">
      <selection activeCell="E48" sqref="E48"/>
    </sheetView>
  </sheetViews>
  <sheetFormatPr defaultRowHeight="13" x14ac:dyDescent="0.2"/>
  <cols>
    <col min="1" max="1" width="10.08984375" customWidth="1"/>
    <col min="2" max="2" width="8.81640625" bestFit="1" customWidth="1"/>
    <col min="3" max="3" width="5.7265625" customWidth="1"/>
    <col min="4" max="5" width="9.36328125" bestFit="1" customWidth="1"/>
    <col min="6" max="6" width="8.26953125" customWidth="1"/>
    <col min="7" max="7" width="9.7265625" customWidth="1"/>
    <col min="8" max="8" width="8.90625" customWidth="1"/>
    <col min="9" max="9" width="8.81640625" bestFit="1" customWidth="1"/>
    <col min="10" max="10" width="10.6328125" customWidth="1"/>
    <col min="11" max="11" width="12.7265625" customWidth="1"/>
    <col min="12" max="12" width="11.08984375" customWidth="1"/>
    <col min="13" max="13" width="10.26953125" customWidth="1"/>
    <col min="14" max="15" width="8.81640625" bestFit="1" customWidth="1"/>
    <col min="16" max="16" width="11.54296875" bestFit="1" customWidth="1"/>
    <col min="17" max="17" width="11.81640625" customWidth="1"/>
    <col min="18" max="18" width="10.36328125" customWidth="1"/>
    <col min="19" max="19" width="10.08984375" customWidth="1"/>
    <col min="20" max="20" width="9.453125" customWidth="1"/>
    <col min="21" max="22" width="9.90625" customWidth="1"/>
    <col min="23" max="23" width="7.08984375" bestFit="1" customWidth="1"/>
    <col min="24" max="24" width="7" bestFit="1" customWidth="1"/>
    <col min="30" max="30" width="11.08984375" customWidth="1"/>
    <col min="31" max="31" width="13.453125" bestFit="1" customWidth="1"/>
    <col min="33" max="33" width="67" bestFit="1" customWidth="1"/>
  </cols>
  <sheetData>
    <row r="1" spans="1:33" x14ac:dyDescent="0.2">
      <c r="A1" t="e">
        <f>[1]!POSITION_M("","0",A3,A4)</f>
        <v>#N/A</v>
      </c>
      <c r="B1" t="e">
        <f>[1]!POSITION_M("","0",B3,B4)</f>
        <v>#N/A</v>
      </c>
      <c r="C1" t="e">
        <f>[1]!POSITION_M("","0",C3,C4)</f>
        <v>#N/A</v>
      </c>
      <c r="D1" t="e">
        <f>[1]!POSITION_M("","0",D3,D4)</f>
        <v>#N/A</v>
      </c>
      <c r="E1" t="e">
        <f>[1]!POSITION_M("","0",E3,E4)</f>
        <v>#N/A</v>
      </c>
      <c r="F1" t="e">
        <f>[1]!POSITION_M("","0",F3,F4)</f>
        <v>#N/A</v>
      </c>
      <c r="G1" t="e">
        <f>[1]!POSITION_M("","0",G3,G4)</f>
        <v>#N/A</v>
      </c>
      <c r="H1" t="e">
        <f>[1]!POSITION_M("","0",H3,H4)</f>
        <v>#N/A</v>
      </c>
      <c r="I1" t="e">
        <f>[1]!POSITION_M("","0",I3,I4)</f>
        <v>#N/A</v>
      </c>
      <c r="J1" t="e">
        <f>[1]!POSITION_M("","0",J3,J4)</f>
        <v>#N/A</v>
      </c>
      <c r="K1" t="e">
        <f>[1]!POSITION_M("","0",K3,K4)</f>
        <v>#N/A</v>
      </c>
      <c r="L1" t="e">
        <f>[1]!POSITION_M("","0",L3,L4)</f>
        <v>#N/A</v>
      </c>
      <c r="M1" t="e">
        <f>[1]!POSITION_M("","0",M3,M4)</f>
        <v>#N/A</v>
      </c>
      <c r="N1" t="e">
        <f>[1]!POSITION_M("","0",N3,N4)</f>
        <v>#N/A</v>
      </c>
      <c r="O1" t="e">
        <f>[1]!POSITION_M("","0",O3,O4)</f>
        <v>#N/A</v>
      </c>
      <c r="P1" t="e">
        <f>[1]!POSITION_M("","0",P3,P4)</f>
        <v>#N/A</v>
      </c>
      <c r="Q1" t="e">
        <f>[1]!POSITION_M("","0",Q3,Q4)</f>
        <v>#N/A</v>
      </c>
      <c r="R1" t="e">
        <f>[1]!POSITION_M("","0",R3,R4)</f>
        <v>#N/A</v>
      </c>
      <c r="S1" t="e">
        <f>[1]!POSITION_M("","0",S3,S4)</f>
        <v>#N/A</v>
      </c>
      <c r="T1" t="e">
        <f>[1]!POSITION_M("","0",T3,T4)</f>
        <v>#N/A</v>
      </c>
      <c r="U1" t="e">
        <f>[1]!POSITION_M("","0",U3,U4)</f>
        <v>#N/A</v>
      </c>
      <c r="V1" t="e">
        <f>[1]!POSITION_M("","0",V3,V4)</f>
        <v>#N/A</v>
      </c>
    </row>
    <row r="2" spans="1:33" x14ac:dyDescent="0.2">
      <c r="A2" s="289" t="s">
        <v>56</v>
      </c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1"/>
      <c r="Z2" s="289" t="s">
        <v>136</v>
      </c>
      <c r="AA2" s="290"/>
      <c r="AB2" s="291"/>
      <c r="AD2" s="314" t="s">
        <v>137</v>
      </c>
      <c r="AE2" s="315"/>
      <c r="AF2" s="315"/>
      <c r="AG2" s="316"/>
    </row>
    <row r="3" spans="1:33" x14ac:dyDescent="0.2">
      <c r="A3" s="52" t="s">
        <v>59</v>
      </c>
      <c r="B3" s="45" t="s">
        <v>88</v>
      </c>
      <c r="C3" s="45" t="s">
        <v>111</v>
      </c>
      <c r="D3" s="45" t="s">
        <v>90</v>
      </c>
      <c r="E3" s="45" t="s">
        <v>91</v>
      </c>
      <c r="F3" s="45" t="s">
        <v>92</v>
      </c>
      <c r="G3" s="45" t="s">
        <v>93</v>
      </c>
      <c r="H3" s="45" t="s">
        <v>112</v>
      </c>
      <c r="I3" s="45" t="s">
        <v>113</v>
      </c>
      <c r="J3" s="45" t="s">
        <v>114</v>
      </c>
      <c r="K3" s="45" t="s">
        <v>115</v>
      </c>
      <c r="L3" s="45" t="s">
        <v>146</v>
      </c>
      <c r="M3" s="45" t="s">
        <v>116</v>
      </c>
      <c r="N3" s="45" t="s">
        <v>117</v>
      </c>
      <c r="O3" s="45" t="s">
        <v>134</v>
      </c>
      <c r="P3" s="45" t="s">
        <v>118</v>
      </c>
      <c r="Q3" s="45" t="s">
        <v>119</v>
      </c>
      <c r="R3" s="45" t="s">
        <v>120</v>
      </c>
      <c r="S3" s="45" t="s">
        <v>121</v>
      </c>
      <c r="T3" s="45" t="s">
        <v>78</v>
      </c>
      <c r="U3" s="45" t="s">
        <v>122</v>
      </c>
      <c r="V3" s="45" t="s">
        <v>123</v>
      </c>
      <c r="W3" s="45" t="s">
        <v>135</v>
      </c>
      <c r="X3" s="104" t="s">
        <v>84</v>
      </c>
      <c r="Z3" s="80" t="s">
        <v>127</v>
      </c>
      <c r="AA3" s="81" t="s">
        <v>144</v>
      </c>
      <c r="AB3" s="82" t="s">
        <v>145</v>
      </c>
      <c r="AC3" s="31"/>
      <c r="AD3" s="60" t="s">
        <v>65</v>
      </c>
      <c r="AE3" s="61" t="s">
        <v>66</v>
      </c>
      <c r="AF3" s="62">
        <v>0</v>
      </c>
      <c r="AG3" s="63" t="s">
        <v>86</v>
      </c>
    </row>
    <row r="4" spans="1:33" x14ac:dyDescent="0.2">
      <c r="A4">
        <v>1319</v>
      </c>
      <c r="B4" t="s">
        <v>254</v>
      </c>
      <c r="C4" t="s">
        <v>62</v>
      </c>
      <c r="D4" s="76">
        <v>368</v>
      </c>
      <c r="E4" s="76">
        <v>368.8</v>
      </c>
      <c r="F4">
        <v>-0.8</v>
      </c>
      <c r="G4" s="100">
        <v>-2.2000000000000001E-3</v>
      </c>
      <c r="H4" t="s">
        <v>224</v>
      </c>
      <c r="I4" s="76">
        <v>99000</v>
      </c>
      <c r="J4" s="76">
        <v>0</v>
      </c>
      <c r="K4" s="103">
        <v>99000</v>
      </c>
      <c r="M4" s="85">
        <v>99000</v>
      </c>
      <c r="N4" s="76">
        <v>200</v>
      </c>
      <c r="O4" s="76">
        <v>201</v>
      </c>
      <c r="P4" s="76">
        <v>19899000</v>
      </c>
      <c r="Q4" s="76">
        <v>36432000</v>
      </c>
      <c r="R4" s="76">
        <v>16533000</v>
      </c>
      <c r="S4" s="50">
        <v>0.83079999999999998</v>
      </c>
      <c r="T4" t="s">
        <v>226</v>
      </c>
      <c r="Z4" s="91"/>
      <c r="AA4" s="1"/>
      <c r="AB4" s="92"/>
      <c r="AD4" s="64"/>
      <c r="AE4" s="65"/>
      <c r="AF4" s="66"/>
      <c r="AG4" s="67"/>
    </row>
    <row r="5" spans="1:33" x14ac:dyDescent="0.2">
      <c r="A5">
        <v>1540</v>
      </c>
      <c r="B5" t="s">
        <v>203</v>
      </c>
      <c r="C5" t="s">
        <v>62</v>
      </c>
      <c r="D5" s="76">
        <v>6281</v>
      </c>
      <c r="E5" s="76">
        <v>6236</v>
      </c>
      <c r="F5">
        <v>45</v>
      </c>
      <c r="G5" s="100">
        <v>7.1999999999999998E-3</v>
      </c>
      <c r="H5" t="s">
        <v>224</v>
      </c>
      <c r="I5" s="76">
        <v>1</v>
      </c>
      <c r="J5">
        <v>0</v>
      </c>
      <c r="K5" s="103">
        <v>1</v>
      </c>
      <c r="M5" s="85">
        <v>1</v>
      </c>
      <c r="N5" s="76">
        <v>4200</v>
      </c>
      <c r="O5" s="76">
        <v>4306</v>
      </c>
      <c r="P5" s="76">
        <v>4306</v>
      </c>
      <c r="Q5" s="76">
        <v>6281</v>
      </c>
      <c r="R5" s="76">
        <v>1975</v>
      </c>
      <c r="S5" s="50">
        <v>0.45860000000000001</v>
      </c>
      <c r="T5" t="s">
        <v>226</v>
      </c>
      <c r="V5" s="76"/>
      <c r="Z5" s="93"/>
      <c r="AB5" s="94"/>
      <c r="AD5" s="64"/>
      <c r="AE5" s="65"/>
      <c r="AF5" s="66"/>
      <c r="AG5" s="67"/>
    </row>
    <row r="6" spans="1:33" x14ac:dyDescent="0.2">
      <c r="A6">
        <v>1570</v>
      </c>
      <c r="B6" t="s">
        <v>255</v>
      </c>
      <c r="C6" t="s">
        <v>62</v>
      </c>
      <c r="D6" s="76">
        <v>15405</v>
      </c>
      <c r="E6" s="58">
        <v>15950</v>
      </c>
      <c r="F6">
        <v>-545</v>
      </c>
      <c r="G6" s="50">
        <v>-3.4200000000000001E-2</v>
      </c>
      <c r="H6" s="59" t="s">
        <v>224</v>
      </c>
      <c r="I6" s="76">
        <v>42</v>
      </c>
      <c r="J6" s="76">
        <v>0</v>
      </c>
      <c r="K6" s="79">
        <v>42</v>
      </c>
      <c r="M6" s="97">
        <v>42</v>
      </c>
      <c r="N6" s="76">
        <v>5250</v>
      </c>
      <c r="O6" s="76">
        <v>5397</v>
      </c>
      <c r="P6" s="76">
        <v>226674</v>
      </c>
      <c r="Q6" s="76">
        <v>647010</v>
      </c>
      <c r="R6" s="76">
        <v>420336</v>
      </c>
      <c r="S6" s="50">
        <v>1.8543000000000001</v>
      </c>
      <c r="T6" t="s">
        <v>226</v>
      </c>
      <c r="V6" s="76"/>
      <c r="Z6" s="93"/>
      <c r="AB6" s="94"/>
      <c r="AD6" s="64"/>
      <c r="AE6" s="65"/>
      <c r="AF6" s="66"/>
      <c r="AG6" s="67"/>
    </row>
    <row r="7" spans="1:33" x14ac:dyDescent="0.2">
      <c r="A7">
        <v>1675</v>
      </c>
      <c r="B7" t="s">
        <v>204</v>
      </c>
      <c r="C7" t="s">
        <v>62</v>
      </c>
      <c r="D7" s="76">
        <v>18390</v>
      </c>
      <c r="E7" s="58">
        <v>17730</v>
      </c>
      <c r="F7" s="76">
        <v>660</v>
      </c>
      <c r="G7" s="50">
        <v>3.7199999999999997E-2</v>
      </c>
      <c r="H7" s="59" t="s">
        <v>224</v>
      </c>
      <c r="I7" s="76">
        <v>10</v>
      </c>
      <c r="J7">
        <v>0</v>
      </c>
      <c r="K7" s="77">
        <v>10</v>
      </c>
      <c r="M7" s="78">
        <v>10</v>
      </c>
      <c r="N7" s="76">
        <v>38000</v>
      </c>
      <c r="O7" s="76">
        <v>38039</v>
      </c>
      <c r="P7" s="76">
        <v>380390</v>
      </c>
      <c r="Q7" s="76">
        <v>183900</v>
      </c>
      <c r="R7" s="76">
        <v>-196490</v>
      </c>
      <c r="S7" s="50">
        <v>-0.51649999999999996</v>
      </c>
      <c r="T7" t="s">
        <v>226</v>
      </c>
      <c r="V7" s="76"/>
      <c r="Z7" s="93"/>
      <c r="AB7" s="94"/>
      <c r="AD7" s="64"/>
      <c r="AE7" s="65"/>
      <c r="AF7" s="66"/>
      <c r="AG7" s="67"/>
    </row>
    <row r="8" spans="1:33" x14ac:dyDescent="0.2">
      <c r="A8">
        <v>2038</v>
      </c>
      <c r="B8" t="s">
        <v>256</v>
      </c>
      <c r="C8" t="s">
        <v>62</v>
      </c>
      <c r="D8" s="76">
        <v>691</v>
      </c>
      <c r="E8" s="76">
        <v>701</v>
      </c>
      <c r="F8">
        <v>-10</v>
      </c>
      <c r="G8" s="100">
        <v>-1.43E-2</v>
      </c>
      <c r="H8" t="s">
        <v>224</v>
      </c>
      <c r="I8" s="76">
        <v>10000</v>
      </c>
      <c r="J8">
        <v>0</v>
      </c>
      <c r="K8" s="103">
        <v>10000</v>
      </c>
      <c r="M8" s="85">
        <v>10000</v>
      </c>
      <c r="N8">
        <v>780</v>
      </c>
      <c r="O8">
        <v>781</v>
      </c>
      <c r="P8" s="76">
        <v>7810000</v>
      </c>
      <c r="Q8" s="76">
        <v>6910000</v>
      </c>
      <c r="R8" s="76">
        <v>-900000</v>
      </c>
      <c r="S8" s="50">
        <v>-0.1152</v>
      </c>
      <c r="T8" t="s">
        <v>226</v>
      </c>
      <c r="Z8" s="93"/>
      <c r="AB8" s="94"/>
      <c r="AD8" s="64"/>
      <c r="AE8" s="65"/>
      <c r="AF8" s="66"/>
      <c r="AG8" s="67"/>
    </row>
    <row r="9" spans="1:33" x14ac:dyDescent="0.2">
      <c r="A9">
        <v>2673</v>
      </c>
      <c r="B9" t="s">
        <v>205</v>
      </c>
      <c r="C9" t="s">
        <v>62</v>
      </c>
      <c r="D9">
        <v>119</v>
      </c>
      <c r="E9">
        <v>121</v>
      </c>
      <c r="F9">
        <v>-2</v>
      </c>
      <c r="G9" s="100">
        <v>-1.6500000000000001E-2</v>
      </c>
      <c r="H9" t="s">
        <v>224</v>
      </c>
      <c r="I9" s="76">
        <v>1000</v>
      </c>
      <c r="J9">
        <v>0</v>
      </c>
      <c r="K9" s="103">
        <v>1000</v>
      </c>
      <c r="M9" s="85">
        <v>1000</v>
      </c>
      <c r="N9">
        <v>120</v>
      </c>
      <c r="O9">
        <v>121</v>
      </c>
      <c r="P9" s="76">
        <v>121000</v>
      </c>
      <c r="Q9" s="76">
        <v>119000</v>
      </c>
      <c r="R9" s="76">
        <v>-2000</v>
      </c>
      <c r="S9" s="50">
        <v>-1.6500000000000001E-2</v>
      </c>
      <c r="T9" t="s">
        <v>226</v>
      </c>
      <c r="Z9" s="93"/>
      <c r="AB9" s="94"/>
      <c r="AD9" s="68"/>
      <c r="AE9" s="69"/>
      <c r="AF9" s="70"/>
      <c r="AG9" s="71"/>
    </row>
    <row r="10" spans="1:33" x14ac:dyDescent="0.2">
      <c r="A10">
        <v>3417</v>
      </c>
      <c r="B10" t="s">
        <v>206</v>
      </c>
      <c r="C10" t="s">
        <v>62</v>
      </c>
      <c r="D10" s="76">
        <v>716</v>
      </c>
      <c r="E10" s="76">
        <v>720</v>
      </c>
      <c r="F10">
        <v>-4</v>
      </c>
      <c r="G10" s="100">
        <v>-5.5999999999999999E-3</v>
      </c>
      <c r="H10" t="s">
        <v>224</v>
      </c>
      <c r="I10">
        <v>500</v>
      </c>
      <c r="J10">
        <v>0</v>
      </c>
      <c r="K10" s="49">
        <v>500</v>
      </c>
      <c r="M10" s="85">
        <v>500</v>
      </c>
      <c r="N10" s="76">
        <v>1889</v>
      </c>
      <c r="O10" s="76">
        <v>1891</v>
      </c>
      <c r="P10" s="76">
        <v>945500</v>
      </c>
      <c r="Q10" s="76">
        <v>358000</v>
      </c>
      <c r="R10" s="76">
        <v>-587500</v>
      </c>
      <c r="S10" s="50">
        <v>-0.62129999999999996</v>
      </c>
      <c r="T10" t="s">
        <v>226</v>
      </c>
      <c r="Z10" s="93"/>
      <c r="AB10" s="94"/>
    </row>
    <row r="11" spans="1:33" x14ac:dyDescent="0.2">
      <c r="A11">
        <v>4671</v>
      </c>
      <c r="B11" t="s">
        <v>207</v>
      </c>
      <c r="C11" t="s">
        <v>62</v>
      </c>
      <c r="D11" s="76">
        <v>1990</v>
      </c>
      <c r="E11" s="58">
        <v>1982</v>
      </c>
      <c r="F11">
        <v>8</v>
      </c>
      <c r="G11" s="50">
        <v>4.0000000000000001E-3</v>
      </c>
      <c r="H11" s="59" t="s">
        <v>224</v>
      </c>
      <c r="I11" s="76">
        <v>500</v>
      </c>
      <c r="J11">
        <v>0</v>
      </c>
      <c r="K11" s="77">
        <v>500</v>
      </c>
      <c r="M11" s="98">
        <v>500</v>
      </c>
      <c r="N11" s="76">
        <v>2027</v>
      </c>
      <c r="O11" s="76">
        <v>2027</v>
      </c>
      <c r="P11" s="76">
        <v>1013500</v>
      </c>
      <c r="Q11" s="76">
        <v>995000</v>
      </c>
      <c r="R11" s="76">
        <v>-18500</v>
      </c>
      <c r="S11" s="50">
        <v>-1.8200000000000001E-2</v>
      </c>
      <c r="T11" t="s">
        <v>227</v>
      </c>
      <c r="V11" s="76"/>
      <c r="Z11" s="93"/>
      <c r="AB11" s="94"/>
      <c r="AD11" s="83"/>
      <c r="AE11" s="84"/>
    </row>
    <row r="12" spans="1:33" x14ac:dyDescent="0.2">
      <c r="A12">
        <v>4726</v>
      </c>
      <c r="B12" t="s">
        <v>208</v>
      </c>
      <c r="C12" t="s">
        <v>62</v>
      </c>
      <c r="D12" s="76">
        <v>2519</v>
      </c>
      <c r="E12" s="58">
        <v>2581</v>
      </c>
      <c r="F12">
        <v>-62</v>
      </c>
      <c r="G12" s="50">
        <v>-2.4E-2</v>
      </c>
      <c r="H12" s="59" t="s">
        <v>224</v>
      </c>
      <c r="I12" s="76">
        <v>200</v>
      </c>
      <c r="J12">
        <v>0</v>
      </c>
      <c r="K12" s="79">
        <v>200</v>
      </c>
      <c r="M12" s="97">
        <v>200</v>
      </c>
      <c r="N12">
        <v>975</v>
      </c>
      <c r="O12" s="76">
        <v>977</v>
      </c>
      <c r="P12" s="76">
        <v>195400</v>
      </c>
      <c r="Q12" s="76">
        <v>503800</v>
      </c>
      <c r="R12" s="76">
        <v>308400</v>
      </c>
      <c r="S12" s="50">
        <v>1.5783</v>
      </c>
      <c r="T12" t="s">
        <v>226</v>
      </c>
      <c r="V12" s="76"/>
      <c r="Z12" s="93"/>
      <c r="AB12" s="94"/>
    </row>
    <row r="13" spans="1:33" x14ac:dyDescent="0.2">
      <c r="A13">
        <v>4980</v>
      </c>
      <c r="B13" t="s">
        <v>257</v>
      </c>
      <c r="C13" t="s">
        <v>62</v>
      </c>
      <c r="D13" s="76">
        <v>3945</v>
      </c>
      <c r="E13" s="76">
        <v>3975</v>
      </c>
      <c r="F13">
        <v>-30</v>
      </c>
      <c r="G13" s="100">
        <v>-7.4999999999999997E-3</v>
      </c>
      <c r="H13" t="s">
        <v>224</v>
      </c>
      <c r="I13">
        <v>100</v>
      </c>
      <c r="J13">
        <v>0</v>
      </c>
      <c r="K13" s="49">
        <v>100</v>
      </c>
      <c r="M13" s="85">
        <v>100</v>
      </c>
      <c r="N13" s="76">
        <v>1950</v>
      </c>
      <c r="O13" s="76">
        <v>1953</v>
      </c>
      <c r="P13" s="76">
        <v>195300</v>
      </c>
      <c r="Q13" s="76">
        <v>394500</v>
      </c>
      <c r="R13" s="76">
        <v>199200</v>
      </c>
      <c r="S13" s="50">
        <v>1.0199</v>
      </c>
      <c r="T13" t="s">
        <v>226</v>
      </c>
      <c r="Z13" s="93"/>
      <c r="AB13" s="94"/>
    </row>
    <row r="14" spans="1:33" x14ac:dyDescent="0.2">
      <c r="A14">
        <v>6042</v>
      </c>
      <c r="B14" t="s">
        <v>209</v>
      </c>
      <c r="C14" t="s">
        <v>62</v>
      </c>
      <c r="D14" s="76">
        <v>1964</v>
      </c>
      <c r="E14" s="58">
        <v>1964</v>
      </c>
      <c r="F14">
        <v>0</v>
      </c>
      <c r="G14" s="50">
        <v>0</v>
      </c>
      <c r="H14" s="59" t="s">
        <v>224</v>
      </c>
      <c r="I14" s="76">
        <v>200</v>
      </c>
      <c r="J14">
        <v>0</v>
      </c>
      <c r="K14" s="79">
        <v>200</v>
      </c>
      <c r="M14" s="97">
        <v>200</v>
      </c>
      <c r="N14" s="76">
        <v>3000</v>
      </c>
      <c r="O14" s="76">
        <v>3000</v>
      </c>
      <c r="P14" s="76">
        <v>600000</v>
      </c>
      <c r="Q14" s="76">
        <v>392800</v>
      </c>
      <c r="R14" s="76">
        <v>-207200</v>
      </c>
      <c r="S14" s="50">
        <v>-0.3453</v>
      </c>
      <c r="T14" t="s">
        <v>227</v>
      </c>
      <c r="V14" s="76"/>
      <c r="Z14" s="93"/>
      <c r="AB14" s="94"/>
      <c r="AD14" s="87"/>
    </row>
    <row r="15" spans="1:33" x14ac:dyDescent="0.2">
      <c r="A15">
        <v>6072</v>
      </c>
      <c r="B15" t="s">
        <v>258</v>
      </c>
      <c r="C15" t="s">
        <v>62</v>
      </c>
      <c r="D15">
        <v>150</v>
      </c>
      <c r="E15" s="58">
        <v>152</v>
      </c>
      <c r="F15">
        <v>-2</v>
      </c>
      <c r="G15" s="50">
        <v>-1.32E-2</v>
      </c>
      <c r="H15" s="59" t="s">
        <v>224</v>
      </c>
      <c r="I15">
        <v>500</v>
      </c>
      <c r="J15">
        <v>0</v>
      </c>
      <c r="K15" s="95" t="s">
        <v>232</v>
      </c>
      <c r="M15" s="97">
        <v>500</v>
      </c>
      <c r="N15">
        <v>274</v>
      </c>
      <c r="O15" s="76">
        <v>275</v>
      </c>
      <c r="P15" s="76">
        <v>137500</v>
      </c>
      <c r="Q15" s="76">
        <v>75000</v>
      </c>
      <c r="R15" s="76">
        <v>-62500</v>
      </c>
      <c r="S15" s="50">
        <v>-0.45450000000000002</v>
      </c>
      <c r="T15" t="s">
        <v>226</v>
      </c>
      <c r="V15" s="76"/>
      <c r="Z15" s="93"/>
      <c r="AB15" s="94"/>
      <c r="AD15" s="22"/>
    </row>
    <row r="16" spans="1:33" x14ac:dyDescent="0.2">
      <c r="A16">
        <v>6177</v>
      </c>
      <c r="B16" t="s">
        <v>210</v>
      </c>
      <c r="C16" t="s">
        <v>62</v>
      </c>
      <c r="D16" s="76">
        <v>139</v>
      </c>
      <c r="E16" s="58">
        <v>142</v>
      </c>
      <c r="F16">
        <v>-3</v>
      </c>
      <c r="G16" s="99">
        <v>-2.1100000000000001E-2</v>
      </c>
      <c r="H16" s="59" t="s">
        <v>224</v>
      </c>
      <c r="I16" s="76">
        <v>200</v>
      </c>
      <c r="J16">
        <v>0</v>
      </c>
      <c r="K16" s="95" t="s">
        <v>231</v>
      </c>
      <c r="M16" s="97">
        <v>200</v>
      </c>
      <c r="N16" s="76">
        <v>355</v>
      </c>
      <c r="O16" s="76">
        <v>355</v>
      </c>
      <c r="P16" s="76">
        <v>71000</v>
      </c>
      <c r="Q16" s="76">
        <v>27800</v>
      </c>
      <c r="R16" s="76">
        <v>-43200</v>
      </c>
      <c r="S16" s="50">
        <v>-0.60840000000000005</v>
      </c>
      <c r="T16" t="s">
        <v>227</v>
      </c>
      <c r="Z16" s="93"/>
      <c r="AB16" s="94"/>
      <c r="AD16" s="22"/>
    </row>
    <row r="17" spans="1:30" x14ac:dyDescent="0.2">
      <c r="A17">
        <v>6177</v>
      </c>
      <c r="B17" t="s">
        <v>210</v>
      </c>
      <c r="C17" t="s">
        <v>62</v>
      </c>
      <c r="D17" s="76">
        <v>139</v>
      </c>
      <c r="E17" s="58">
        <v>142</v>
      </c>
      <c r="F17">
        <v>-3</v>
      </c>
      <c r="G17" s="99">
        <v>-2.1100000000000001E-2</v>
      </c>
      <c r="H17" s="59" t="s">
        <v>224</v>
      </c>
      <c r="I17">
        <v>800</v>
      </c>
      <c r="J17">
        <v>0</v>
      </c>
      <c r="K17" s="95" t="s">
        <v>229</v>
      </c>
      <c r="M17" s="97">
        <v>800</v>
      </c>
      <c r="N17" s="76">
        <v>355</v>
      </c>
      <c r="O17" s="76">
        <v>356</v>
      </c>
      <c r="P17" s="76">
        <v>284800</v>
      </c>
      <c r="Q17" s="76">
        <v>111200</v>
      </c>
      <c r="R17" s="76">
        <v>-173600</v>
      </c>
      <c r="S17" s="50">
        <v>-0.60950000000000004</v>
      </c>
      <c r="T17" t="s">
        <v>226</v>
      </c>
      <c r="Z17" s="93"/>
      <c r="AB17" s="94"/>
      <c r="AD17" s="22"/>
    </row>
    <row r="18" spans="1:30" x14ac:dyDescent="0.2">
      <c r="A18">
        <v>6501</v>
      </c>
      <c r="B18" t="s">
        <v>211</v>
      </c>
      <c r="C18" t="s">
        <v>62</v>
      </c>
      <c r="D18" s="193">
        <v>6338</v>
      </c>
      <c r="E18" s="193">
        <v>6447</v>
      </c>
      <c r="F18">
        <v>-109</v>
      </c>
      <c r="G18" s="100">
        <v>-1.6899999999999998E-2</v>
      </c>
      <c r="H18" t="s">
        <v>224</v>
      </c>
      <c r="I18" s="76">
        <v>1200</v>
      </c>
      <c r="J18">
        <v>0</v>
      </c>
      <c r="K18" s="95" t="s">
        <v>230</v>
      </c>
      <c r="M18" s="85">
        <v>1200</v>
      </c>
      <c r="N18" s="76">
        <v>2450</v>
      </c>
      <c r="O18" s="76">
        <v>3636</v>
      </c>
      <c r="P18" s="76">
        <v>4363200</v>
      </c>
      <c r="Q18" s="76">
        <v>7605600</v>
      </c>
      <c r="R18" s="76">
        <v>3242400</v>
      </c>
      <c r="S18" s="50">
        <v>0.74309999999999998</v>
      </c>
      <c r="T18" t="s">
        <v>226</v>
      </c>
      <c r="Z18" s="93"/>
      <c r="AB18" s="94"/>
      <c r="AD18" s="22"/>
    </row>
    <row r="19" spans="1:30" x14ac:dyDescent="0.2">
      <c r="A19">
        <v>6502</v>
      </c>
      <c r="B19" t="s">
        <v>212</v>
      </c>
      <c r="C19" t="s">
        <v>62</v>
      </c>
      <c r="D19" s="76">
        <v>4630</v>
      </c>
      <c r="E19" s="76">
        <v>4741</v>
      </c>
      <c r="F19">
        <v>-111</v>
      </c>
      <c r="G19" s="100">
        <v>-2.3400000000000001E-2</v>
      </c>
      <c r="H19" t="s">
        <v>224</v>
      </c>
      <c r="I19">
        <v>200</v>
      </c>
      <c r="J19">
        <v>0</v>
      </c>
      <c r="K19" s="95" t="s">
        <v>231</v>
      </c>
      <c r="M19" s="85">
        <v>200</v>
      </c>
      <c r="N19" s="76">
        <v>3300</v>
      </c>
      <c r="O19" s="76">
        <v>3310</v>
      </c>
      <c r="P19" s="76">
        <v>662000</v>
      </c>
      <c r="Q19" s="76">
        <v>926000</v>
      </c>
      <c r="R19" s="76">
        <v>264000</v>
      </c>
      <c r="S19" s="50">
        <v>0.3987</v>
      </c>
      <c r="T19" t="s">
        <v>226</v>
      </c>
      <c r="Z19" s="93"/>
      <c r="AB19" s="94"/>
      <c r="AD19" s="22"/>
    </row>
    <row r="20" spans="1:30" x14ac:dyDescent="0.2">
      <c r="A20">
        <v>6752</v>
      </c>
      <c r="B20" t="s">
        <v>213</v>
      </c>
      <c r="C20" t="s">
        <v>62</v>
      </c>
      <c r="D20" s="76">
        <v>1223.5</v>
      </c>
      <c r="E20" s="76">
        <v>1227</v>
      </c>
      <c r="F20">
        <v>-3.5</v>
      </c>
      <c r="G20" s="100">
        <v>-2.8999999999999998E-3</v>
      </c>
      <c r="H20" t="s">
        <v>224</v>
      </c>
      <c r="I20">
        <v>500</v>
      </c>
      <c r="J20">
        <v>0</v>
      </c>
      <c r="K20" s="95" t="s">
        <v>232</v>
      </c>
      <c r="M20" s="85">
        <v>500</v>
      </c>
      <c r="N20" s="76">
        <v>1115</v>
      </c>
      <c r="O20" s="76">
        <v>1115</v>
      </c>
      <c r="P20" s="76">
        <v>557500</v>
      </c>
      <c r="Q20" s="76">
        <v>611750</v>
      </c>
      <c r="R20" s="76">
        <v>54250</v>
      </c>
      <c r="S20" s="50">
        <v>9.7299999999999998E-2</v>
      </c>
      <c r="T20" t="s">
        <v>227</v>
      </c>
      <c r="Z20" s="93"/>
      <c r="AB20" s="94"/>
      <c r="AD20" s="22"/>
    </row>
    <row r="21" spans="1:30" x14ac:dyDescent="0.2">
      <c r="A21">
        <v>6988</v>
      </c>
      <c r="B21" t="s">
        <v>214</v>
      </c>
      <c r="C21" t="s">
        <v>62</v>
      </c>
      <c r="D21" s="76">
        <v>8800</v>
      </c>
      <c r="E21" s="76">
        <v>8890</v>
      </c>
      <c r="F21">
        <v>-90</v>
      </c>
      <c r="G21" s="100">
        <v>-1.01E-2</v>
      </c>
      <c r="H21" t="s">
        <v>224</v>
      </c>
      <c r="I21">
        <v>200</v>
      </c>
      <c r="J21">
        <v>0</v>
      </c>
      <c r="K21" s="95" t="s">
        <v>231</v>
      </c>
      <c r="M21" s="85">
        <v>200</v>
      </c>
      <c r="N21" s="76">
        <v>6220</v>
      </c>
      <c r="O21" s="76">
        <v>6226</v>
      </c>
      <c r="P21" s="76">
        <v>1245200</v>
      </c>
      <c r="Q21" s="76">
        <v>1760000</v>
      </c>
      <c r="R21" s="76">
        <v>514800</v>
      </c>
      <c r="S21" s="50">
        <v>0.41339999999999999</v>
      </c>
      <c r="T21" t="s">
        <v>226</v>
      </c>
      <c r="Z21" s="93"/>
      <c r="AB21" s="94"/>
    </row>
    <row r="22" spans="1:30" x14ac:dyDescent="0.2">
      <c r="A22">
        <v>7203</v>
      </c>
      <c r="B22" t="s">
        <v>215</v>
      </c>
      <c r="C22" t="s">
        <v>62</v>
      </c>
      <c r="D22" s="76">
        <v>2105.5</v>
      </c>
      <c r="E22" s="76">
        <v>2139.5</v>
      </c>
      <c r="F22">
        <v>-34</v>
      </c>
      <c r="G22" s="100">
        <v>-1.5900000000000001E-2</v>
      </c>
      <c r="H22" t="s">
        <v>224</v>
      </c>
      <c r="I22" s="76">
        <v>3500</v>
      </c>
      <c r="J22">
        <v>0</v>
      </c>
      <c r="K22" s="95" t="s">
        <v>351</v>
      </c>
      <c r="M22" s="85">
        <v>3500</v>
      </c>
      <c r="N22" s="76">
        <v>1433</v>
      </c>
      <c r="O22" s="76">
        <v>1552</v>
      </c>
      <c r="P22" s="76">
        <v>5432000</v>
      </c>
      <c r="Q22" s="76">
        <v>7369250</v>
      </c>
      <c r="R22" s="76">
        <v>1937250</v>
      </c>
      <c r="S22" s="50">
        <v>0.35659999999999997</v>
      </c>
      <c r="T22" t="s">
        <v>226</v>
      </c>
      <c r="Z22" s="93"/>
      <c r="AB22" s="94"/>
      <c r="AD22" s="87"/>
    </row>
    <row r="23" spans="1:30" x14ac:dyDescent="0.2">
      <c r="A23">
        <v>7912</v>
      </c>
      <c r="B23" t="s">
        <v>216</v>
      </c>
      <c r="C23" t="s">
        <v>62</v>
      </c>
      <c r="D23" s="193">
        <v>2808</v>
      </c>
      <c r="E23" s="193">
        <v>2838</v>
      </c>
      <c r="F23">
        <v>-30</v>
      </c>
      <c r="G23" s="100">
        <v>-1.06E-2</v>
      </c>
      <c r="H23" t="s">
        <v>224</v>
      </c>
      <c r="I23">
        <v>600</v>
      </c>
      <c r="J23">
        <v>0</v>
      </c>
      <c r="K23" s="95" t="s">
        <v>233</v>
      </c>
      <c r="M23" s="85">
        <v>600</v>
      </c>
      <c r="N23" s="76">
        <v>3070</v>
      </c>
      <c r="O23" s="76">
        <v>3073</v>
      </c>
      <c r="P23" s="76">
        <v>1843800</v>
      </c>
      <c r="Q23" s="76">
        <v>1684800</v>
      </c>
      <c r="R23" s="76">
        <v>-159000</v>
      </c>
      <c r="S23" s="50">
        <v>-8.6199999999999999E-2</v>
      </c>
      <c r="T23" t="s">
        <v>226</v>
      </c>
      <c r="Z23" s="93"/>
      <c r="AB23" s="94"/>
      <c r="AD23" s="22"/>
    </row>
    <row r="24" spans="1:30" x14ac:dyDescent="0.2">
      <c r="A24">
        <v>7974</v>
      </c>
      <c r="B24" t="s">
        <v>217</v>
      </c>
      <c r="C24" t="s">
        <v>62</v>
      </c>
      <c r="D24" s="76">
        <v>53070</v>
      </c>
      <c r="E24" s="76">
        <v>54400</v>
      </c>
      <c r="F24" s="76">
        <v>-1330</v>
      </c>
      <c r="G24" s="100">
        <v>-2.4400000000000002E-2</v>
      </c>
      <c r="H24" t="s">
        <v>224</v>
      </c>
      <c r="I24" s="76">
        <v>100</v>
      </c>
      <c r="J24">
        <v>0</v>
      </c>
      <c r="K24" s="95" t="s">
        <v>234</v>
      </c>
      <c r="M24" s="85">
        <v>100</v>
      </c>
      <c r="N24" s="76">
        <v>38900</v>
      </c>
      <c r="O24" s="76">
        <v>39183</v>
      </c>
      <c r="P24" s="76">
        <v>3918300</v>
      </c>
      <c r="Q24" s="76">
        <v>5307000</v>
      </c>
      <c r="R24" s="76">
        <v>1388700</v>
      </c>
      <c r="S24" s="50">
        <v>0.35439999999999999</v>
      </c>
      <c r="T24" t="s">
        <v>226</v>
      </c>
      <c r="Z24" s="93"/>
      <c r="AB24" s="94"/>
      <c r="AD24" s="22"/>
    </row>
    <row r="25" spans="1:30" x14ac:dyDescent="0.2">
      <c r="A25">
        <v>8267</v>
      </c>
      <c r="B25" t="s">
        <v>218</v>
      </c>
      <c r="C25" t="s">
        <v>62</v>
      </c>
      <c r="D25" s="193">
        <v>2812.5</v>
      </c>
      <c r="E25" s="193">
        <v>2842</v>
      </c>
      <c r="F25">
        <v>-29.5</v>
      </c>
      <c r="G25" s="100">
        <v>-1.04E-2</v>
      </c>
      <c r="H25" t="s">
        <v>224</v>
      </c>
      <c r="I25" s="76">
        <v>100</v>
      </c>
      <c r="J25">
        <v>0</v>
      </c>
      <c r="K25" s="95" t="s">
        <v>234</v>
      </c>
      <c r="M25" s="85">
        <v>100</v>
      </c>
      <c r="N25" s="76">
        <v>1420</v>
      </c>
      <c r="O25" s="76">
        <v>1423</v>
      </c>
      <c r="P25" s="76">
        <v>142300</v>
      </c>
      <c r="Q25" s="76">
        <v>281250</v>
      </c>
      <c r="R25" s="76">
        <v>138950</v>
      </c>
      <c r="S25" s="50">
        <v>0.97640000000000005</v>
      </c>
      <c r="T25" t="s">
        <v>226</v>
      </c>
      <c r="Z25" s="93"/>
      <c r="AB25" s="94"/>
    </row>
    <row r="26" spans="1:30" x14ac:dyDescent="0.2">
      <c r="A26">
        <v>8303</v>
      </c>
      <c r="B26" t="s">
        <v>259</v>
      </c>
      <c r="C26" t="s">
        <v>62</v>
      </c>
      <c r="D26" s="76">
        <v>1976</v>
      </c>
      <c r="E26" s="76">
        <v>2000</v>
      </c>
      <c r="F26">
        <v>-24</v>
      </c>
      <c r="G26" s="100">
        <v>-1.2E-2</v>
      </c>
      <c r="H26" t="s">
        <v>224</v>
      </c>
      <c r="I26">
        <v>100</v>
      </c>
      <c r="J26">
        <v>0</v>
      </c>
      <c r="K26" s="95" t="s">
        <v>234</v>
      </c>
      <c r="M26" s="85">
        <v>100</v>
      </c>
      <c r="N26" s="76">
        <v>1964</v>
      </c>
      <c r="O26" s="76">
        <v>1967</v>
      </c>
      <c r="P26" s="76">
        <v>196700</v>
      </c>
      <c r="Q26" s="76">
        <v>197600</v>
      </c>
      <c r="R26" s="76">
        <v>900</v>
      </c>
      <c r="S26" s="50">
        <v>4.4999999999999997E-3</v>
      </c>
      <c r="T26" t="s">
        <v>226</v>
      </c>
      <c r="Z26" s="93"/>
      <c r="AB26" s="94"/>
    </row>
    <row r="27" spans="1:30" x14ac:dyDescent="0.2">
      <c r="A27">
        <v>8411</v>
      </c>
      <c r="B27" t="s">
        <v>219</v>
      </c>
      <c r="C27" t="s">
        <v>62</v>
      </c>
      <c r="D27" s="76">
        <v>1477</v>
      </c>
      <c r="E27" s="76">
        <v>1478</v>
      </c>
      <c r="F27">
        <v>-1</v>
      </c>
      <c r="G27" s="100">
        <v>-6.9999999999999999E-4</v>
      </c>
      <c r="H27" t="s">
        <v>224</v>
      </c>
      <c r="I27" s="76">
        <v>210</v>
      </c>
      <c r="J27">
        <v>0</v>
      </c>
      <c r="K27" s="95" t="s">
        <v>231</v>
      </c>
      <c r="M27" s="85">
        <v>210</v>
      </c>
      <c r="N27" s="76">
        <v>1481.4</v>
      </c>
      <c r="O27" s="76">
        <v>1710</v>
      </c>
      <c r="P27" s="76">
        <v>359100</v>
      </c>
      <c r="Q27" s="76">
        <v>310170</v>
      </c>
      <c r="R27" s="76">
        <v>-48930</v>
      </c>
      <c r="S27" s="50">
        <v>-0.13619999999999999</v>
      </c>
      <c r="T27" t="s">
        <v>226</v>
      </c>
      <c r="Z27" s="93"/>
      <c r="AB27" s="94"/>
      <c r="AD27" s="87"/>
    </row>
    <row r="28" spans="1:30" x14ac:dyDescent="0.2">
      <c r="A28">
        <v>8411</v>
      </c>
      <c r="B28" t="s">
        <v>219</v>
      </c>
      <c r="C28" t="s">
        <v>62</v>
      </c>
      <c r="D28" s="76">
        <v>1477</v>
      </c>
      <c r="E28" s="76">
        <v>1478</v>
      </c>
      <c r="F28">
        <v>-1</v>
      </c>
      <c r="G28" s="100">
        <v>-6.9999999999999999E-4</v>
      </c>
      <c r="H28" t="s">
        <v>224</v>
      </c>
      <c r="I28">
        <v>160</v>
      </c>
      <c r="J28">
        <v>0</v>
      </c>
      <c r="K28" s="95" t="s">
        <v>234</v>
      </c>
      <c r="M28" s="85">
        <v>160</v>
      </c>
      <c r="N28" s="76">
        <v>1481.4</v>
      </c>
      <c r="O28" s="76">
        <v>1482</v>
      </c>
      <c r="P28" s="76">
        <v>237120</v>
      </c>
      <c r="Q28" s="76">
        <v>236320</v>
      </c>
      <c r="R28" s="76">
        <v>-800</v>
      </c>
      <c r="S28" s="50">
        <v>-3.3E-3</v>
      </c>
      <c r="T28" t="s">
        <v>227</v>
      </c>
      <c r="Z28" s="93"/>
      <c r="AB28" s="94"/>
    </row>
    <row r="29" spans="1:30" x14ac:dyDescent="0.2">
      <c r="A29">
        <v>8600</v>
      </c>
      <c r="B29" t="s">
        <v>260</v>
      </c>
      <c r="C29" t="s">
        <v>62</v>
      </c>
      <c r="D29" s="76">
        <v>307</v>
      </c>
      <c r="E29" s="76">
        <v>307</v>
      </c>
      <c r="F29">
        <v>0</v>
      </c>
      <c r="G29" s="100">
        <v>0</v>
      </c>
      <c r="H29" t="s">
        <v>224</v>
      </c>
      <c r="I29" s="76">
        <v>100</v>
      </c>
      <c r="J29">
        <v>0</v>
      </c>
      <c r="K29" s="95" t="s">
        <v>234</v>
      </c>
      <c r="M29" s="85">
        <v>100</v>
      </c>
      <c r="N29" s="76">
        <v>299</v>
      </c>
      <c r="O29" s="76">
        <v>301</v>
      </c>
      <c r="P29" s="76">
        <v>30100</v>
      </c>
      <c r="Q29" s="76">
        <v>30700</v>
      </c>
      <c r="R29" s="76">
        <v>600</v>
      </c>
      <c r="S29" s="50">
        <v>1.9900000000000001E-2</v>
      </c>
      <c r="T29" t="s">
        <v>226</v>
      </c>
      <c r="Z29" s="93"/>
      <c r="AB29" s="94"/>
    </row>
    <row r="30" spans="1:30" x14ac:dyDescent="0.2">
      <c r="A30">
        <v>8609</v>
      </c>
      <c r="B30" t="s">
        <v>220</v>
      </c>
      <c r="C30" t="s">
        <v>62</v>
      </c>
      <c r="D30" s="76">
        <v>390</v>
      </c>
      <c r="E30" s="76">
        <v>392</v>
      </c>
      <c r="F30">
        <v>-2</v>
      </c>
      <c r="G30" s="100">
        <v>-5.1000000000000004E-3</v>
      </c>
      <c r="H30" t="s">
        <v>224</v>
      </c>
      <c r="I30" s="76">
        <v>1600</v>
      </c>
      <c r="J30">
        <v>0</v>
      </c>
      <c r="K30" s="95" t="s">
        <v>352</v>
      </c>
      <c r="M30" s="85">
        <v>1600</v>
      </c>
      <c r="N30">
        <v>303</v>
      </c>
      <c r="O30" s="76">
        <v>312</v>
      </c>
      <c r="P30" s="76">
        <v>499200</v>
      </c>
      <c r="Q30" s="76">
        <v>624000</v>
      </c>
      <c r="R30" s="76">
        <v>124800</v>
      </c>
      <c r="S30" s="50">
        <v>0.25</v>
      </c>
      <c r="T30" t="s">
        <v>227</v>
      </c>
      <c r="V30" s="76"/>
      <c r="Z30" s="93"/>
      <c r="AB30" s="94"/>
      <c r="AD30" s="105"/>
    </row>
    <row r="31" spans="1:30" x14ac:dyDescent="0.2">
      <c r="A31">
        <v>8609</v>
      </c>
      <c r="B31" t="s">
        <v>220</v>
      </c>
      <c r="C31" t="s">
        <v>62</v>
      </c>
      <c r="D31">
        <v>390</v>
      </c>
      <c r="E31">
        <v>392</v>
      </c>
      <c r="F31">
        <v>-2</v>
      </c>
      <c r="G31" s="100">
        <v>-5.1000000000000004E-3</v>
      </c>
      <c r="H31" t="s">
        <v>224</v>
      </c>
      <c r="I31" s="76">
        <v>11000</v>
      </c>
      <c r="J31">
        <v>0</v>
      </c>
      <c r="K31" s="96">
        <v>11000</v>
      </c>
      <c r="M31" s="85">
        <v>11000</v>
      </c>
      <c r="N31">
        <v>558</v>
      </c>
      <c r="O31">
        <v>335</v>
      </c>
      <c r="P31" s="76">
        <v>3685000</v>
      </c>
      <c r="Q31" s="76">
        <v>4290000</v>
      </c>
      <c r="R31" s="76">
        <v>605000</v>
      </c>
      <c r="S31" s="50">
        <v>0.1641</v>
      </c>
      <c r="T31" t="s">
        <v>226</v>
      </c>
      <c r="V31" s="76"/>
      <c r="Z31" s="93"/>
      <c r="AB31" s="94"/>
    </row>
    <row r="32" spans="1:30" x14ac:dyDescent="0.2">
      <c r="A32">
        <v>9501</v>
      </c>
      <c r="B32" t="s">
        <v>221</v>
      </c>
      <c r="C32" t="s">
        <v>62</v>
      </c>
      <c r="D32" s="76">
        <v>311</v>
      </c>
      <c r="E32" s="76">
        <v>308</v>
      </c>
      <c r="F32">
        <v>3</v>
      </c>
      <c r="G32" s="100">
        <v>9.7000000000000003E-3</v>
      </c>
      <c r="H32" t="s">
        <v>224</v>
      </c>
      <c r="I32">
        <v>300</v>
      </c>
      <c r="J32">
        <v>0</v>
      </c>
      <c r="K32" s="96">
        <v>300</v>
      </c>
      <c r="M32" s="85">
        <v>300</v>
      </c>
      <c r="N32">
        <v>431</v>
      </c>
      <c r="O32" s="76">
        <v>431</v>
      </c>
      <c r="P32" s="76">
        <v>129300</v>
      </c>
      <c r="Q32" s="76">
        <v>93300</v>
      </c>
      <c r="R32" s="76">
        <v>-36000</v>
      </c>
      <c r="S32" s="50">
        <v>-0.27839999999999998</v>
      </c>
      <c r="T32" t="s">
        <v>227</v>
      </c>
      <c r="V32" s="76"/>
      <c r="Z32" s="93"/>
      <c r="AB32" s="94"/>
      <c r="AD32" s="87"/>
    </row>
    <row r="33" spans="1:28" x14ac:dyDescent="0.2">
      <c r="A33">
        <v>9946</v>
      </c>
      <c r="B33" t="s">
        <v>222</v>
      </c>
      <c r="C33" t="s">
        <v>62</v>
      </c>
      <c r="D33" s="76">
        <v>1414</v>
      </c>
      <c r="E33" s="76">
        <v>1417</v>
      </c>
      <c r="F33">
        <v>-3</v>
      </c>
      <c r="G33" s="100">
        <v>-2.0999999999999999E-3</v>
      </c>
      <c r="H33" t="s">
        <v>224</v>
      </c>
      <c r="I33">
        <v>100</v>
      </c>
      <c r="J33">
        <v>0</v>
      </c>
      <c r="K33" s="96">
        <v>100</v>
      </c>
      <c r="M33" s="85">
        <v>100</v>
      </c>
      <c r="N33" s="76">
        <v>1586</v>
      </c>
      <c r="O33" s="76">
        <v>1589</v>
      </c>
      <c r="P33" s="76">
        <v>158900</v>
      </c>
      <c r="Q33" s="76">
        <v>141400</v>
      </c>
      <c r="R33" s="76">
        <v>-17500</v>
      </c>
      <c r="S33" s="50">
        <v>-0.1101</v>
      </c>
      <c r="T33" t="s">
        <v>226</v>
      </c>
      <c r="V33" s="76"/>
      <c r="Z33" s="93"/>
      <c r="AB33" s="94"/>
    </row>
    <row r="34" spans="1:28" x14ac:dyDescent="0.2">
      <c r="A34">
        <v>9984</v>
      </c>
      <c r="B34" t="s">
        <v>223</v>
      </c>
      <c r="C34" t="s">
        <v>62</v>
      </c>
      <c r="D34" s="76">
        <v>5526</v>
      </c>
      <c r="E34" s="76">
        <v>5643</v>
      </c>
      <c r="F34">
        <v>-117</v>
      </c>
      <c r="G34" s="100">
        <v>-2.07E-2</v>
      </c>
      <c r="H34" t="s">
        <v>224</v>
      </c>
      <c r="I34" s="76">
        <v>29900</v>
      </c>
      <c r="J34">
        <v>0</v>
      </c>
      <c r="K34" s="96">
        <v>29900</v>
      </c>
      <c r="M34" s="85">
        <v>29900</v>
      </c>
      <c r="N34" s="76">
        <v>5065</v>
      </c>
      <c r="O34" s="76">
        <v>5345</v>
      </c>
      <c r="P34" s="76">
        <v>159815500</v>
      </c>
      <c r="Q34" s="76">
        <v>165227400</v>
      </c>
      <c r="R34" s="76">
        <v>5411900</v>
      </c>
      <c r="S34" s="50">
        <v>3.3799999999999997E-2</v>
      </c>
      <c r="T34" t="s">
        <v>226</v>
      </c>
      <c r="V34" s="76"/>
      <c r="Z34" s="93"/>
      <c r="AB34" s="94"/>
    </row>
    <row r="35" spans="1:28" x14ac:dyDescent="0.2">
      <c r="A35">
        <v>9984</v>
      </c>
      <c r="B35" t="s">
        <v>223</v>
      </c>
      <c r="C35" t="s">
        <v>62</v>
      </c>
      <c r="D35" s="76">
        <v>5526</v>
      </c>
      <c r="E35" s="76">
        <v>5643</v>
      </c>
      <c r="F35">
        <v>-117</v>
      </c>
      <c r="G35" s="100">
        <v>-2.07E-2</v>
      </c>
      <c r="H35" t="s">
        <v>224</v>
      </c>
      <c r="I35" s="76">
        <v>4900</v>
      </c>
      <c r="J35">
        <v>0</v>
      </c>
      <c r="K35" s="96">
        <v>4900</v>
      </c>
      <c r="M35" s="85">
        <v>4900</v>
      </c>
      <c r="N35" s="76">
        <v>5453</v>
      </c>
      <c r="O35" s="76">
        <v>5921</v>
      </c>
      <c r="P35" s="76">
        <v>29012900</v>
      </c>
      <c r="Q35" s="76">
        <v>27077400</v>
      </c>
      <c r="R35" s="76">
        <v>-1935500</v>
      </c>
      <c r="S35" s="50">
        <v>-6.6699999999999995E-2</v>
      </c>
      <c r="T35" t="s">
        <v>227</v>
      </c>
      <c r="V35" s="76"/>
      <c r="Z35" s="93"/>
      <c r="AB35" s="94"/>
    </row>
    <row r="36" spans="1:28" x14ac:dyDescent="0.2">
      <c r="A36">
        <v>6502</v>
      </c>
      <c r="B36" t="s">
        <v>212</v>
      </c>
      <c r="C36" t="s">
        <v>62</v>
      </c>
      <c r="D36" s="76">
        <v>4630</v>
      </c>
      <c r="E36" s="76">
        <v>4741</v>
      </c>
      <c r="F36">
        <v>-111</v>
      </c>
      <c r="G36" s="100">
        <v>-2.3400000000000001E-2</v>
      </c>
      <c r="H36" t="s">
        <v>225</v>
      </c>
      <c r="I36">
        <v>100</v>
      </c>
      <c r="J36">
        <v>0</v>
      </c>
      <c r="K36" s="96">
        <v>100</v>
      </c>
      <c r="L36">
        <v>20210409</v>
      </c>
      <c r="M36" s="85"/>
      <c r="O36" s="76">
        <v>4300</v>
      </c>
      <c r="P36" s="76">
        <v>430000</v>
      </c>
      <c r="Q36" s="76">
        <v>463000</v>
      </c>
      <c r="R36" s="76">
        <v>33000</v>
      </c>
      <c r="S36" s="50">
        <v>7.6700000000000004E-2</v>
      </c>
      <c r="T36" t="s">
        <v>226</v>
      </c>
      <c r="U36" t="s">
        <v>235</v>
      </c>
      <c r="V36" s="76">
        <v>9665</v>
      </c>
      <c r="Z36" s="91"/>
      <c r="AA36" s="1"/>
      <c r="AB36" s="92"/>
    </row>
    <row r="37" spans="1:28" x14ac:dyDescent="0.2">
      <c r="A37">
        <v>6502</v>
      </c>
      <c r="B37" t="s">
        <v>212</v>
      </c>
      <c r="C37" t="s">
        <v>62</v>
      </c>
      <c r="D37" s="76">
        <v>4630</v>
      </c>
      <c r="E37" s="76">
        <v>4741</v>
      </c>
      <c r="F37">
        <v>-111</v>
      </c>
      <c r="G37" s="100">
        <v>-2.3400000000000001E-2</v>
      </c>
      <c r="H37" t="s">
        <v>225</v>
      </c>
      <c r="I37">
        <v>200</v>
      </c>
      <c r="J37">
        <v>0</v>
      </c>
      <c r="K37" s="96">
        <v>200</v>
      </c>
      <c r="L37">
        <v>20210409</v>
      </c>
      <c r="M37" s="85"/>
      <c r="O37" s="76">
        <v>4400</v>
      </c>
      <c r="P37" s="76">
        <v>880000</v>
      </c>
      <c r="Q37" s="76">
        <v>926000</v>
      </c>
      <c r="R37" s="76">
        <v>46000</v>
      </c>
      <c r="S37" s="50">
        <v>5.2200000000000003E-2</v>
      </c>
      <c r="T37" t="s">
        <v>226</v>
      </c>
      <c r="U37" t="s">
        <v>235</v>
      </c>
      <c r="V37" s="76">
        <v>17849</v>
      </c>
      <c r="Z37" s="91"/>
      <c r="AA37" s="1"/>
      <c r="AB37" s="92"/>
    </row>
    <row r="38" spans="1:28" x14ac:dyDescent="0.2">
      <c r="A38">
        <v>8609</v>
      </c>
      <c r="B38" t="s">
        <v>220</v>
      </c>
      <c r="C38" t="s">
        <v>62</v>
      </c>
      <c r="D38" s="76">
        <v>390</v>
      </c>
      <c r="E38" s="76">
        <v>392</v>
      </c>
      <c r="F38">
        <v>-2</v>
      </c>
      <c r="G38" s="100">
        <v>-5.1000000000000004E-3</v>
      </c>
      <c r="H38" t="s">
        <v>225</v>
      </c>
      <c r="I38" s="76">
        <v>200</v>
      </c>
      <c r="J38">
        <v>200</v>
      </c>
      <c r="K38" s="96">
        <v>0</v>
      </c>
      <c r="L38">
        <v>20210527</v>
      </c>
      <c r="M38" s="85"/>
      <c r="O38" s="76">
        <v>442</v>
      </c>
      <c r="P38" s="76">
        <v>88400</v>
      </c>
      <c r="Q38" s="76">
        <v>78000</v>
      </c>
      <c r="R38" s="76">
        <v>10400</v>
      </c>
      <c r="S38" s="50">
        <v>0.1176</v>
      </c>
      <c r="T38" t="s">
        <v>226</v>
      </c>
      <c r="U38" t="s">
        <v>236</v>
      </c>
      <c r="V38" s="76">
        <v>7235</v>
      </c>
      <c r="Z38" s="91"/>
      <c r="AA38" s="1"/>
      <c r="AB38" s="92"/>
    </row>
    <row r="39" spans="1:28" x14ac:dyDescent="0.2">
      <c r="A39">
        <v>8609</v>
      </c>
      <c r="B39" t="s">
        <v>220</v>
      </c>
      <c r="C39" t="s">
        <v>62</v>
      </c>
      <c r="D39">
        <v>390</v>
      </c>
      <c r="E39">
        <v>392</v>
      </c>
      <c r="F39">
        <v>-2</v>
      </c>
      <c r="G39" s="100">
        <v>-5.1000000000000004E-3</v>
      </c>
      <c r="H39" t="s">
        <v>225</v>
      </c>
      <c r="I39" s="76">
        <v>100</v>
      </c>
      <c r="J39">
        <v>0</v>
      </c>
      <c r="K39" s="96">
        <v>100</v>
      </c>
      <c r="L39">
        <v>20211217</v>
      </c>
      <c r="M39" s="85"/>
      <c r="O39">
        <v>350</v>
      </c>
      <c r="P39" s="76">
        <v>35000</v>
      </c>
      <c r="Q39" s="76">
        <v>39000</v>
      </c>
      <c r="R39" s="76">
        <v>4000</v>
      </c>
      <c r="S39" s="50">
        <v>0.1142</v>
      </c>
      <c r="T39" t="s">
        <v>226</v>
      </c>
      <c r="U39" t="s">
        <v>235</v>
      </c>
      <c r="V39" s="76">
        <v>111</v>
      </c>
      <c r="Z39" s="91"/>
      <c r="AA39" s="1"/>
      <c r="AB39" s="92"/>
    </row>
    <row r="40" spans="1:28" x14ac:dyDescent="0.2">
      <c r="A40">
        <v>8609</v>
      </c>
      <c r="B40" t="s">
        <v>220</v>
      </c>
      <c r="C40" t="s">
        <v>62</v>
      </c>
      <c r="D40">
        <v>390</v>
      </c>
      <c r="E40">
        <v>392</v>
      </c>
      <c r="F40">
        <v>-2</v>
      </c>
      <c r="G40" s="100">
        <v>-5.1000000000000004E-3</v>
      </c>
      <c r="H40" t="s">
        <v>225</v>
      </c>
      <c r="I40">
        <v>100</v>
      </c>
      <c r="J40">
        <v>0</v>
      </c>
      <c r="K40" s="96">
        <v>100</v>
      </c>
      <c r="L40">
        <v>20211217</v>
      </c>
      <c r="M40" s="85"/>
      <c r="O40">
        <v>390</v>
      </c>
      <c r="P40" s="76">
        <v>39000</v>
      </c>
      <c r="Q40" s="76">
        <v>39000</v>
      </c>
      <c r="R40" s="76">
        <v>0</v>
      </c>
      <c r="S40" s="50">
        <v>0</v>
      </c>
      <c r="T40" t="s">
        <v>226</v>
      </c>
      <c r="U40" t="s">
        <v>235</v>
      </c>
      <c r="V40" s="76">
        <v>111</v>
      </c>
      <c r="Z40" s="91"/>
      <c r="AA40" s="1"/>
      <c r="AB40" s="92"/>
    </row>
    <row r="41" spans="1:28" x14ac:dyDescent="0.2">
      <c r="A41">
        <v>9984</v>
      </c>
      <c r="B41" t="s">
        <v>223</v>
      </c>
      <c r="C41" t="s">
        <v>62</v>
      </c>
      <c r="D41" s="76">
        <v>5526</v>
      </c>
      <c r="E41" s="76">
        <v>5643</v>
      </c>
      <c r="F41">
        <v>-117</v>
      </c>
      <c r="G41" s="100">
        <v>-2.07E-2</v>
      </c>
      <c r="H41" t="s">
        <v>225</v>
      </c>
      <c r="I41" s="76">
        <v>1000</v>
      </c>
      <c r="J41">
        <v>0</v>
      </c>
      <c r="K41" s="96">
        <v>1000</v>
      </c>
      <c r="L41">
        <v>20210408</v>
      </c>
      <c r="M41" s="85"/>
      <c r="O41" s="76">
        <v>9995</v>
      </c>
      <c r="P41" s="76">
        <v>9995000</v>
      </c>
      <c r="Q41" s="76">
        <v>5526000</v>
      </c>
      <c r="R41" s="76">
        <v>-4469000</v>
      </c>
      <c r="S41" s="50">
        <v>-0.4471</v>
      </c>
      <c r="T41" t="s">
        <v>226</v>
      </c>
      <c r="U41" t="s">
        <v>235</v>
      </c>
      <c r="V41" s="76">
        <v>197501</v>
      </c>
      <c r="Z41" s="91"/>
      <c r="AA41" s="1"/>
      <c r="AB41" s="92"/>
    </row>
    <row r="42" spans="1:28" x14ac:dyDescent="0.2">
      <c r="A42">
        <v>9984</v>
      </c>
      <c r="B42" t="s">
        <v>223</v>
      </c>
      <c r="C42" t="s">
        <v>62</v>
      </c>
      <c r="D42" s="76">
        <v>5526</v>
      </c>
      <c r="E42" s="76">
        <v>5643</v>
      </c>
      <c r="F42">
        <v>-117</v>
      </c>
      <c r="G42" s="100">
        <v>-2.07E-2</v>
      </c>
      <c r="H42" t="s">
        <v>225</v>
      </c>
      <c r="I42">
        <v>300</v>
      </c>
      <c r="J42">
        <v>0</v>
      </c>
      <c r="K42" s="96">
        <v>300</v>
      </c>
      <c r="L42">
        <v>20210624</v>
      </c>
      <c r="M42" s="85"/>
      <c r="O42" s="76">
        <v>7700</v>
      </c>
      <c r="P42" s="76">
        <v>2310000</v>
      </c>
      <c r="Q42" s="76">
        <v>1657800</v>
      </c>
      <c r="R42" s="76">
        <v>-652200</v>
      </c>
      <c r="S42" s="50">
        <v>-0.2823</v>
      </c>
      <c r="T42" t="s">
        <v>226</v>
      </c>
      <c r="U42" t="s">
        <v>235</v>
      </c>
      <c r="V42" s="76">
        <v>33063</v>
      </c>
      <c r="Z42" s="91"/>
      <c r="AA42" s="1"/>
      <c r="AB42" s="92"/>
    </row>
    <row r="43" spans="1:28" x14ac:dyDescent="0.2">
      <c r="A43">
        <v>9984</v>
      </c>
      <c r="B43" t="s">
        <v>223</v>
      </c>
      <c r="C43" t="s">
        <v>62</v>
      </c>
      <c r="D43" s="76">
        <v>5526</v>
      </c>
      <c r="E43" s="76">
        <v>5643</v>
      </c>
      <c r="F43">
        <v>-117</v>
      </c>
      <c r="G43" s="100">
        <v>-2.07E-2</v>
      </c>
      <c r="H43" t="s">
        <v>225</v>
      </c>
      <c r="I43">
        <v>100</v>
      </c>
      <c r="J43">
        <v>0</v>
      </c>
      <c r="K43" s="49">
        <v>100</v>
      </c>
      <c r="L43">
        <v>20210624</v>
      </c>
      <c r="M43" s="85"/>
      <c r="O43" s="76">
        <v>7970</v>
      </c>
      <c r="P43" s="76">
        <v>797000</v>
      </c>
      <c r="Q43" s="76">
        <v>552600</v>
      </c>
      <c r="R43" s="76">
        <v>-244400</v>
      </c>
      <c r="S43" s="50">
        <v>-0.30659999999999998</v>
      </c>
      <c r="T43" t="s">
        <v>226</v>
      </c>
      <c r="U43" t="s">
        <v>235</v>
      </c>
      <c r="V43" s="76">
        <v>11213</v>
      </c>
      <c r="Z43" s="91"/>
      <c r="AA43" s="1"/>
      <c r="AB43" s="92"/>
    </row>
    <row r="44" spans="1:28" x14ac:dyDescent="0.2">
      <c r="A44">
        <v>9984</v>
      </c>
      <c r="B44" t="s">
        <v>223</v>
      </c>
      <c r="C44" t="s">
        <v>62</v>
      </c>
      <c r="D44" s="76">
        <v>5526</v>
      </c>
      <c r="E44" s="76">
        <v>5643</v>
      </c>
      <c r="F44">
        <v>-117</v>
      </c>
      <c r="G44" s="100">
        <v>-2.07E-2</v>
      </c>
      <c r="H44" t="s">
        <v>225</v>
      </c>
      <c r="I44">
        <v>400</v>
      </c>
      <c r="J44">
        <v>0</v>
      </c>
      <c r="K44" s="49">
        <v>400</v>
      </c>
      <c r="L44">
        <v>20210628</v>
      </c>
      <c r="M44" s="85"/>
      <c r="O44" s="76">
        <v>7920</v>
      </c>
      <c r="P44" s="76">
        <v>3168000</v>
      </c>
      <c r="Q44" s="76">
        <v>2210400</v>
      </c>
      <c r="R44" s="76">
        <v>-957600</v>
      </c>
      <c r="S44" s="50">
        <v>-0.30220000000000002</v>
      </c>
      <c r="T44" t="s">
        <v>226</v>
      </c>
      <c r="U44" t="s">
        <v>235</v>
      </c>
      <c r="V44" s="76">
        <v>44619</v>
      </c>
      <c r="Z44" s="91"/>
      <c r="AA44" s="1"/>
      <c r="AB44" s="92"/>
    </row>
    <row r="45" spans="1:28" x14ac:dyDescent="0.2">
      <c r="A45" t="s">
        <v>163</v>
      </c>
      <c r="B45" t="s">
        <v>163</v>
      </c>
      <c r="C45" t="s">
        <v>163</v>
      </c>
      <c r="D45" t="s">
        <v>163</v>
      </c>
      <c r="E45" t="s">
        <v>163</v>
      </c>
      <c r="F45" t="s">
        <v>163</v>
      </c>
      <c r="G45" s="100" t="s">
        <v>163</v>
      </c>
      <c r="H45" t="s">
        <v>163</v>
      </c>
      <c r="I45" t="s">
        <v>163</v>
      </c>
      <c r="J45" t="s">
        <v>163</v>
      </c>
      <c r="K45" s="49" t="s">
        <v>163</v>
      </c>
      <c r="L45" t="s">
        <v>163</v>
      </c>
      <c r="M45" s="85" t="s">
        <v>163</v>
      </c>
      <c r="N45" t="s">
        <v>163</v>
      </c>
      <c r="O45" t="s">
        <v>163</v>
      </c>
      <c r="P45" s="76" t="s">
        <v>163</v>
      </c>
      <c r="Q45" s="76" t="s">
        <v>163</v>
      </c>
      <c r="R45" s="76" t="s">
        <v>163</v>
      </c>
      <c r="S45" s="50" t="s">
        <v>163</v>
      </c>
      <c r="T45" t="s">
        <v>163</v>
      </c>
      <c r="U45" t="s">
        <v>163</v>
      </c>
      <c r="V45" s="76" t="s">
        <v>163</v>
      </c>
      <c r="Z45" s="91"/>
      <c r="AA45" s="1"/>
      <c r="AB45" s="92"/>
    </row>
    <row r="46" spans="1:28" x14ac:dyDescent="0.2">
      <c r="D46" s="76"/>
      <c r="E46" s="76"/>
      <c r="G46" s="100"/>
      <c r="K46" s="49"/>
      <c r="M46" s="85"/>
      <c r="O46" s="76"/>
      <c r="P46" s="76"/>
      <c r="Q46" s="76"/>
      <c r="R46" s="76"/>
      <c r="S46" s="50"/>
      <c r="V46" s="76"/>
      <c r="Z46" s="91"/>
      <c r="AA46" s="1"/>
      <c r="AB46" s="92"/>
    </row>
    <row r="47" spans="1:28" x14ac:dyDescent="0.2">
      <c r="D47" s="76"/>
      <c r="E47" s="76"/>
      <c r="G47" s="100"/>
      <c r="K47" s="49"/>
      <c r="M47" s="85"/>
      <c r="O47" s="76"/>
      <c r="P47" s="76"/>
      <c r="Q47" s="76"/>
      <c r="R47" s="76"/>
      <c r="S47" s="50"/>
      <c r="V47" s="76"/>
      <c r="Z47" s="91"/>
      <c r="AA47" s="1"/>
      <c r="AB47" s="92"/>
    </row>
    <row r="48" spans="1:28" x14ac:dyDescent="0.2">
      <c r="D48" s="76"/>
      <c r="E48" s="76"/>
      <c r="G48" s="100"/>
      <c r="K48" s="49"/>
      <c r="M48" s="85"/>
      <c r="O48" s="76"/>
      <c r="P48" s="76"/>
      <c r="Q48" s="76"/>
      <c r="R48" s="76"/>
      <c r="S48" s="50"/>
      <c r="V48" s="76"/>
      <c r="Z48" s="91"/>
      <c r="AA48" s="1"/>
      <c r="AB48" s="92"/>
    </row>
    <row r="49" spans="4:28" x14ac:dyDescent="0.2">
      <c r="G49" s="100"/>
      <c r="K49" s="49"/>
      <c r="M49" s="85"/>
      <c r="P49" s="76"/>
      <c r="Q49" s="76"/>
      <c r="R49" s="76"/>
      <c r="S49" s="50"/>
      <c r="V49" s="76"/>
      <c r="Z49" s="91"/>
      <c r="AA49" s="1"/>
      <c r="AB49" s="92"/>
    </row>
    <row r="50" spans="4:28" x14ac:dyDescent="0.2">
      <c r="D50" s="76"/>
      <c r="E50" s="76"/>
      <c r="G50" s="100"/>
      <c r="K50" s="49"/>
      <c r="M50" s="85"/>
      <c r="O50" s="76"/>
      <c r="P50" s="76"/>
      <c r="Q50" s="76"/>
      <c r="R50" s="76"/>
      <c r="S50" s="50"/>
      <c r="V50" s="76"/>
      <c r="Z50" s="91"/>
      <c r="AA50" s="1"/>
      <c r="AB50" s="92"/>
    </row>
    <row r="51" spans="4:28" x14ac:dyDescent="0.2">
      <c r="D51" s="76"/>
      <c r="E51" s="76"/>
      <c r="G51" s="100"/>
      <c r="K51" s="49"/>
      <c r="M51" s="85"/>
      <c r="O51" s="76"/>
      <c r="P51" s="76"/>
      <c r="Q51" s="76"/>
      <c r="R51" s="76"/>
      <c r="S51" s="50"/>
      <c r="V51" s="76"/>
      <c r="Z51" s="91"/>
      <c r="AA51" s="1"/>
      <c r="AB51" s="92"/>
    </row>
    <row r="52" spans="4:28" x14ac:dyDescent="0.2">
      <c r="D52" s="76"/>
      <c r="E52" s="76"/>
      <c r="G52" s="100"/>
      <c r="K52" s="49"/>
      <c r="M52" s="85"/>
      <c r="O52" s="76"/>
      <c r="P52" s="76"/>
      <c r="Q52" s="76"/>
      <c r="R52" s="76"/>
      <c r="S52" s="50"/>
      <c r="V52" s="76"/>
      <c r="Z52" s="91"/>
      <c r="AA52" s="1"/>
      <c r="AB52" s="92"/>
    </row>
    <row r="53" spans="4:28" x14ac:dyDescent="0.2">
      <c r="D53" s="76"/>
      <c r="E53" s="76"/>
      <c r="G53" s="100"/>
      <c r="K53" s="49"/>
      <c r="M53" s="85"/>
      <c r="O53" s="76"/>
      <c r="P53" s="76"/>
      <c r="Q53" s="76"/>
      <c r="R53" s="76"/>
      <c r="S53" s="50"/>
      <c r="V53" s="76"/>
      <c r="Z53" s="91"/>
      <c r="AA53" s="1"/>
      <c r="AB53" s="92"/>
    </row>
    <row r="54" spans="4:28" x14ac:dyDescent="0.2">
      <c r="G54" s="50"/>
      <c r="P54" s="76"/>
      <c r="Q54" s="76"/>
      <c r="R54" s="76"/>
      <c r="S54" s="50"/>
    </row>
    <row r="55" spans="4:28" x14ac:dyDescent="0.2">
      <c r="D55" s="76"/>
      <c r="E55" s="76"/>
      <c r="G55" s="50"/>
      <c r="O55" s="76"/>
      <c r="P55" s="76"/>
      <c r="Q55" s="76"/>
      <c r="R55" s="76"/>
      <c r="S55" s="50"/>
      <c r="V55" s="76"/>
    </row>
    <row r="56" spans="4:28" x14ac:dyDescent="0.2">
      <c r="D56" s="76"/>
      <c r="E56" s="76"/>
      <c r="G56" s="50"/>
      <c r="O56" s="76"/>
      <c r="P56" s="76"/>
      <c r="Q56" s="76"/>
      <c r="R56" s="76"/>
      <c r="S56" s="50"/>
      <c r="V56" s="76"/>
    </row>
    <row r="57" spans="4:28" x14ac:dyDescent="0.2">
      <c r="G57" s="50"/>
      <c r="I57" s="76"/>
      <c r="K57" s="76"/>
      <c r="P57" s="76"/>
      <c r="Q57" s="76"/>
      <c r="R57" s="76"/>
      <c r="S57" s="50"/>
    </row>
    <row r="58" spans="4:28" x14ac:dyDescent="0.2">
      <c r="D58" s="76"/>
      <c r="G58" s="50"/>
      <c r="O58" s="76"/>
      <c r="P58" s="76"/>
      <c r="Q58" s="76"/>
      <c r="R58" s="76"/>
      <c r="S58" s="50"/>
      <c r="V58" s="76"/>
    </row>
    <row r="59" spans="4:28" x14ac:dyDescent="0.2">
      <c r="D59" s="76"/>
      <c r="E59" s="76"/>
      <c r="G59" s="50"/>
      <c r="O59" s="76"/>
      <c r="P59" s="76"/>
      <c r="Q59" s="76"/>
      <c r="R59" s="76"/>
      <c r="S59" s="50"/>
      <c r="V59" s="76"/>
    </row>
    <row r="60" spans="4:28" x14ac:dyDescent="0.2">
      <c r="G60" s="50"/>
      <c r="P60" s="76"/>
      <c r="Q60" s="76"/>
      <c r="R60" s="76"/>
      <c r="S60" s="50"/>
      <c r="V60" s="76"/>
    </row>
    <row r="61" spans="4:28" x14ac:dyDescent="0.2">
      <c r="G61" s="50"/>
      <c r="P61" s="76"/>
      <c r="Q61" s="76"/>
      <c r="R61" s="76"/>
      <c r="S61" s="50"/>
    </row>
    <row r="62" spans="4:28" x14ac:dyDescent="0.2">
      <c r="D62" s="76"/>
      <c r="E62" s="76"/>
      <c r="G62" s="50"/>
      <c r="O62" s="76"/>
      <c r="P62" s="76"/>
      <c r="Q62" s="76"/>
      <c r="R62" s="76"/>
      <c r="S62" s="50"/>
      <c r="V62" s="76"/>
    </row>
    <row r="63" spans="4:28" x14ac:dyDescent="0.2">
      <c r="D63" s="76"/>
      <c r="E63" s="76"/>
      <c r="G63" s="50"/>
      <c r="O63" s="76"/>
      <c r="P63" s="76"/>
      <c r="Q63" s="76"/>
      <c r="R63" s="76"/>
      <c r="S63" s="50"/>
      <c r="V63" s="76"/>
    </row>
    <row r="64" spans="4:28" x14ac:dyDescent="0.2">
      <c r="D64" s="76"/>
      <c r="E64" s="76"/>
      <c r="G64" s="50"/>
      <c r="O64" s="76"/>
      <c r="P64" s="76"/>
      <c r="Q64" s="76"/>
      <c r="R64" s="76"/>
      <c r="S64" s="50"/>
      <c r="V64" s="76"/>
    </row>
    <row r="65" spans="4:22" x14ac:dyDescent="0.2">
      <c r="G65" s="50"/>
      <c r="I65" s="76"/>
      <c r="K65" s="76"/>
      <c r="P65" s="76"/>
      <c r="Q65" s="76"/>
      <c r="R65" s="76"/>
      <c r="S65" s="50"/>
    </row>
    <row r="66" spans="4:22" x14ac:dyDescent="0.2">
      <c r="D66" s="76"/>
      <c r="E66" s="76"/>
      <c r="G66" s="50"/>
      <c r="O66" s="76"/>
      <c r="P66" s="76"/>
      <c r="Q66" s="76"/>
      <c r="R66" s="76"/>
      <c r="S66" s="50"/>
      <c r="V66" s="76"/>
    </row>
    <row r="67" spans="4:22" x14ac:dyDescent="0.2">
      <c r="D67" s="76"/>
      <c r="E67" s="76"/>
      <c r="G67" s="50"/>
      <c r="I67" s="76"/>
      <c r="K67" s="76"/>
      <c r="P67" s="76"/>
      <c r="Q67" s="76"/>
      <c r="R67" s="76"/>
      <c r="S67" s="50"/>
      <c r="V67" s="76"/>
    </row>
    <row r="68" spans="4:22" x14ac:dyDescent="0.2">
      <c r="D68" s="76"/>
      <c r="E68" s="76"/>
      <c r="G68" s="50"/>
      <c r="O68" s="76"/>
      <c r="P68" s="76"/>
      <c r="Q68" s="76"/>
      <c r="R68" s="76"/>
      <c r="S68" s="50"/>
      <c r="V68" s="76"/>
    </row>
    <row r="69" spans="4:22" x14ac:dyDescent="0.2">
      <c r="D69" s="76"/>
      <c r="E69" s="76"/>
      <c r="G69" s="50"/>
      <c r="O69" s="76"/>
      <c r="P69" s="76"/>
      <c r="Q69" s="76"/>
      <c r="R69" s="76"/>
      <c r="S69" s="50"/>
      <c r="V69" s="76"/>
    </row>
    <row r="70" spans="4:22" x14ac:dyDescent="0.2">
      <c r="D70" s="76"/>
      <c r="E70" s="76"/>
      <c r="G70" s="50"/>
      <c r="O70" s="76"/>
      <c r="P70" s="76"/>
      <c r="Q70" s="76"/>
      <c r="R70" s="76"/>
      <c r="S70" s="50"/>
      <c r="V70" s="76"/>
    </row>
    <row r="71" spans="4:22" x14ac:dyDescent="0.2">
      <c r="D71" s="76"/>
      <c r="E71" s="76"/>
      <c r="G71" s="50"/>
      <c r="O71" s="76"/>
      <c r="P71" s="76"/>
      <c r="Q71" s="76"/>
      <c r="R71" s="76"/>
      <c r="S71" s="50"/>
      <c r="V71" s="76"/>
    </row>
    <row r="72" spans="4:22" x14ac:dyDescent="0.2">
      <c r="D72" s="76"/>
      <c r="E72" s="76"/>
      <c r="G72" s="50"/>
      <c r="O72" s="76"/>
      <c r="P72" s="76"/>
      <c r="Q72" s="76"/>
      <c r="R72" s="76"/>
      <c r="S72" s="50"/>
      <c r="V72" s="76"/>
    </row>
    <row r="73" spans="4:22" x14ac:dyDescent="0.2">
      <c r="G73" s="50"/>
      <c r="I73" s="76"/>
      <c r="K73" s="76"/>
      <c r="P73" s="76"/>
      <c r="Q73" s="76"/>
      <c r="R73" s="76"/>
      <c r="S73" s="50"/>
      <c r="V73" s="76"/>
    </row>
    <row r="74" spans="4:22" x14ac:dyDescent="0.2">
      <c r="D74" s="76"/>
      <c r="E74" s="76"/>
      <c r="G74" s="50"/>
      <c r="O74" s="76"/>
      <c r="P74" s="76"/>
      <c r="Q74" s="76"/>
      <c r="R74" s="76"/>
      <c r="S74" s="50"/>
      <c r="V74" s="76"/>
    </row>
    <row r="75" spans="4:22" x14ac:dyDescent="0.2">
      <c r="G75" s="50"/>
      <c r="I75" s="76"/>
      <c r="K75" s="76"/>
      <c r="P75" s="76"/>
      <c r="Q75" s="76"/>
      <c r="R75" s="76"/>
      <c r="S75" s="50"/>
    </row>
    <row r="76" spans="4:22" x14ac:dyDescent="0.2">
      <c r="G76" s="50"/>
      <c r="P76" s="76"/>
      <c r="Q76" s="76"/>
      <c r="R76" s="76"/>
      <c r="S76" s="50"/>
      <c r="V76" s="76"/>
    </row>
    <row r="77" spans="4:22" x14ac:dyDescent="0.2">
      <c r="G77" s="50"/>
      <c r="I77" s="76"/>
      <c r="K77" s="76"/>
      <c r="P77" s="76"/>
      <c r="Q77" s="76"/>
      <c r="R77" s="76"/>
      <c r="S77" s="50"/>
      <c r="V77" s="76"/>
    </row>
    <row r="78" spans="4:22" x14ac:dyDescent="0.2">
      <c r="G78" s="50"/>
      <c r="I78" s="76"/>
      <c r="K78" s="76"/>
      <c r="P78" s="76"/>
      <c r="Q78" s="76"/>
      <c r="R78" s="76"/>
      <c r="S78" s="50"/>
      <c r="V78" s="76"/>
    </row>
    <row r="79" spans="4:22" x14ac:dyDescent="0.2">
      <c r="G79" s="50"/>
      <c r="P79" s="76"/>
      <c r="Q79" s="76"/>
      <c r="R79" s="76"/>
      <c r="S79" s="50"/>
      <c r="V79" s="76"/>
    </row>
    <row r="80" spans="4:22" x14ac:dyDescent="0.2">
      <c r="G80" s="50"/>
      <c r="P80" s="76"/>
      <c r="Q80" s="76"/>
      <c r="R80" s="76"/>
      <c r="S80" s="50"/>
      <c r="V80" s="76"/>
    </row>
    <row r="81" spans="4:22" x14ac:dyDescent="0.2">
      <c r="G81" s="50"/>
      <c r="P81" s="76"/>
      <c r="Q81" s="76"/>
      <c r="R81" s="76"/>
      <c r="S81" s="50"/>
      <c r="V81" s="76"/>
    </row>
    <row r="82" spans="4:22" x14ac:dyDescent="0.2">
      <c r="G82" s="50"/>
      <c r="P82" s="76"/>
      <c r="Q82" s="76"/>
      <c r="R82" s="76"/>
      <c r="S82" s="50"/>
    </row>
    <row r="83" spans="4:22" x14ac:dyDescent="0.2">
      <c r="D83" s="76"/>
      <c r="E83" s="76"/>
      <c r="G83" s="50"/>
      <c r="O83" s="76"/>
      <c r="P83" s="76"/>
      <c r="Q83" s="76"/>
      <c r="R83" s="76"/>
      <c r="S83" s="50"/>
      <c r="V83" s="76"/>
    </row>
    <row r="84" spans="4:22" x14ac:dyDescent="0.2">
      <c r="G84" s="50"/>
      <c r="P84" s="76"/>
      <c r="Q84" s="76"/>
      <c r="R84" s="76"/>
      <c r="S84" s="50"/>
    </row>
    <row r="85" spans="4:22" x14ac:dyDescent="0.2">
      <c r="D85" s="193"/>
      <c r="E85" s="193"/>
      <c r="G85" s="50"/>
      <c r="O85" s="76"/>
      <c r="P85" s="76"/>
      <c r="Q85" s="76"/>
      <c r="R85" s="76"/>
      <c r="S85" s="50"/>
      <c r="V85" s="76"/>
    </row>
    <row r="86" spans="4:22" x14ac:dyDescent="0.2">
      <c r="D86" s="76"/>
      <c r="E86" s="76"/>
      <c r="G86" s="50"/>
      <c r="O86" s="76"/>
      <c r="P86" s="76"/>
      <c r="Q86" s="76"/>
      <c r="R86" s="76"/>
      <c r="S86" s="50"/>
      <c r="V86" s="76"/>
    </row>
    <row r="87" spans="4:22" x14ac:dyDescent="0.2">
      <c r="D87" s="76"/>
      <c r="E87" s="76"/>
      <c r="G87" s="50"/>
      <c r="I87" s="76"/>
      <c r="K87" s="76"/>
      <c r="O87" s="76"/>
      <c r="P87" s="76"/>
      <c r="Q87" s="76"/>
      <c r="R87" s="76"/>
      <c r="S87" s="50"/>
      <c r="V87" s="76"/>
    </row>
    <row r="88" spans="4:22" x14ac:dyDescent="0.2">
      <c r="D88" s="76"/>
      <c r="E88" s="76"/>
      <c r="G88" s="50"/>
      <c r="I88" s="76"/>
      <c r="K88" s="76"/>
      <c r="O88" s="76"/>
      <c r="P88" s="76"/>
      <c r="Q88" s="76"/>
      <c r="R88" s="76"/>
      <c r="S88" s="50"/>
      <c r="V88" s="76"/>
    </row>
    <row r="89" spans="4:22" x14ac:dyDescent="0.2">
      <c r="D89" s="76"/>
      <c r="E89" s="76"/>
      <c r="G89" s="50"/>
      <c r="I89" s="76"/>
      <c r="K89" s="76"/>
      <c r="O89" s="76"/>
      <c r="P89" s="76"/>
      <c r="Q89" s="76"/>
      <c r="R89" s="76"/>
      <c r="S89" s="50"/>
      <c r="V89" s="76"/>
    </row>
    <row r="90" spans="4:22" x14ac:dyDescent="0.2">
      <c r="D90" s="76"/>
      <c r="E90" s="76"/>
      <c r="G90" s="50"/>
      <c r="I90" s="76"/>
      <c r="K90" s="76"/>
      <c r="O90" s="76"/>
      <c r="P90" s="76"/>
      <c r="Q90" s="76"/>
      <c r="R90" s="76"/>
      <c r="S90" s="50"/>
      <c r="V90" s="76"/>
    </row>
    <row r="91" spans="4:22" x14ac:dyDescent="0.2">
      <c r="D91" s="76"/>
      <c r="E91" s="76"/>
      <c r="G91" s="50"/>
      <c r="O91" s="76"/>
      <c r="P91" s="76"/>
      <c r="Q91" s="76"/>
      <c r="R91" s="76"/>
      <c r="S91" s="50"/>
      <c r="V91" s="76"/>
    </row>
    <row r="92" spans="4:22" x14ac:dyDescent="0.2">
      <c r="D92" s="76"/>
      <c r="E92" s="76"/>
      <c r="G92" s="50"/>
      <c r="I92" s="76"/>
      <c r="K92" s="76"/>
      <c r="O92" s="76"/>
      <c r="P92" s="76"/>
      <c r="Q92" s="76"/>
      <c r="R92" s="76"/>
      <c r="S92" s="50"/>
      <c r="V92" s="76"/>
    </row>
    <row r="93" spans="4:22" x14ac:dyDescent="0.2">
      <c r="D93" s="76"/>
      <c r="E93" s="76"/>
      <c r="G93" s="50"/>
      <c r="I93" s="76"/>
      <c r="K93" s="76"/>
      <c r="O93" s="76"/>
      <c r="P93" s="76"/>
      <c r="Q93" s="76"/>
      <c r="R93" s="76"/>
      <c r="S93" s="50"/>
      <c r="V93" s="76"/>
    </row>
    <row r="94" spans="4:22" x14ac:dyDescent="0.2">
      <c r="D94" s="76"/>
      <c r="E94" s="76"/>
      <c r="G94" s="50"/>
      <c r="I94" s="76"/>
      <c r="K94" s="76"/>
      <c r="O94" s="76"/>
      <c r="P94" s="76"/>
      <c r="Q94" s="76"/>
      <c r="R94" s="76"/>
      <c r="S94" s="50"/>
      <c r="V94" s="76"/>
    </row>
    <row r="95" spans="4:22" x14ac:dyDescent="0.2">
      <c r="D95" s="76"/>
      <c r="E95" s="76"/>
      <c r="G95" s="50"/>
      <c r="I95" s="76"/>
      <c r="K95" s="76"/>
      <c r="O95" s="76"/>
      <c r="P95" s="76"/>
      <c r="Q95" s="76"/>
      <c r="R95" s="76"/>
      <c r="S95" s="50"/>
      <c r="V95" s="76"/>
    </row>
    <row r="96" spans="4:22" x14ac:dyDescent="0.2">
      <c r="D96" s="76"/>
      <c r="E96" s="76"/>
      <c r="G96" s="50"/>
      <c r="O96" s="76"/>
      <c r="P96" s="76"/>
      <c r="Q96" s="76"/>
      <c r="R96" s="76"/>
      <c r="S96" s="50"/>
      <c r="V96" s="76"/>
    </row>
    <row r="97" spans="4:22" x14ac:dyDescent="0.2">
      <c r="D97" s="76"/>
      <c r="E97" s="76"/>
      <c r="G97" s="50"/>
      <c r="O97" s="76"/>
      <c r="P97" s="76"/>
      <c r="Q97" s="76"/>
      <c r="R97" s="76"/>
      <c r="S97" s="50"/>
      <c r="V97" s="76"/>
    </row>
    <row r="98" spans="4:22" x14ac:dyDescent="0.2">
      <c r="D98" s="76"/>
      <c r="E98" s="76"/>
      <c r="G98" s="50"/>
      <c r="I98" s="76"/>
      <c r="K98" s="76"/>
      <c r="O98" s="76"/>
      <c r="P98" s="76"/>
      <c r="Q98" s="76"/>
      <c r="R98" s="76"/>
      <c r="S98" s="50"/>
      <c r="V98" s="76"/>
    </row>
    <row r="99" spans="4:22" x14ac:dyDescent="0.2">
      <c r="D99" s="76"/>
      <c r="E99" s="76"/>
      <c r="G99" s="50"/>
      <c r="I99" s="76"/>
      <c r="K99" s="76"/>
      <c r="O99" s="76"/>
      <c r="P99" s="76"/>
      <c r="Q99" s="76"/>
      <c r="R99" s="76"/>
      <c r="S99" s="50"/>
      <c r="V99" s="76"/>
    </row>
    <row r="100" spans="4:22" x14ac:dyDescent="0.2">
      <c r="D100" s="76"/>
      <c r="E100" s="76"/>
      <c r="G100" s="50"/>
      <c r="O100" s="76"/>
      <c r="P100" s="76"/>
      <c r="Q100" s="76"/>
      <c r="R100" s="76"/>
      <c r="S100" s="50"/>
      <c r="V100" s="76"/>
    </row>
  </sheetData>
  <mergeCells count="3">
    <mergeCell ref="A2:X2"/>
    <mergeCell ref="AD2:AG2"/>
    <mergeCell ref="Z2:AB2"/>
  </mergeCells>
  <phoneticPr fontId="3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保有情報更新">
                <anchor moveWithCells="1" sizeWithCells="1">
                  <from>
                    <xdr:col>29</xdr:col>
                    <xdr:colOff>146050</xdr:colOff>
                    <xdr:row>35</xdr:row>
                    <xdr:rowOff>69850</xdr:rowOff>
                  </from>
                  <to>
                    <xdr:col>30</xdr:col>
                    <xdr:colOff>165100</xdr:colOff>
                    <xdr:row>37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X144"/>
  <sheetViews>
    <sheetView showGridLines="0" tabSelected="1" zoomScale="75" zoomScaleNormal="75" workbookViewId="0">
      <selection activeCell="E19" sqref="E19"/>
    </sheetView>
  </sheetViews>
  <sheetFormatPr defaultColWidth="9" defaultRowHeight="13" x14ac:dyDescent="0.2"/>
  <cols>
    <col min="2" max="2" width="18.90625" customWidth="1"/>
    <col min="3" max="3" width="9.08984375" customWidth="1"/>
    <col min="4" max="4" width="65.54296875" customWidth="1"/>
    <col min="5" max="5" width="9.26953125" customWidth="1"/>
    <col min="7" max="7" width="15.90625" customWidth="1"/>
    <col min="9" max="9" width="7.90625" customWidth="1"/>
    <col min="11" max="11" width="15.90625" customWidth="1"/>
    <col min="12" max="12" width="10.81640625" customWidth="1"/>
    <col min="13" max="13" width="13.08984375" customWidth="1"/>
    <col min="15" max="15" width="15.26953125" customWidth="1"/>
    <col min="17" max="17" width="10.6328125" customWidth="1"/>
    <col min="19" max="19" width="10.7265625" customWidth="1"/>
    <col min="24" max="24" width="10.7265625" customWidth="1"/>
  </cols>
  <sheetData>
    <row r="1" spans="1:18" x14ac:dyDescent="0.2">
      <c r="A1" s="86" t="s">
        <v>164</v>
      </c>
      <c r="F1" s="86" t="s">
        <v>171</v>
      </c>
      <c r="J1" s="86" t="s">
        <v>172</v>
      </c>
      <c r="N1" s="119">
        <f>C6</f>
        <v>8609</v>
      </c>
      <c r="O1" s="120" t="e">
        <f>[1]!QUOTE(N1,"","市場")</f>
        <v>#VALUE!</v>
      </c>
      <c r="P1" s="348" t="e">
        <f>[1]!QUOTE(N1,O1,"銘柄名")</f>
        <v>#VALUE!</v>
      </c>
      <c r="Q1" s="349"/>
      <c r="R1" s="350"/>
    </row>
    <row r="2" spans="1:18" ht="13.5" thickBot="1" x14ac:dyDescent="0.25">
      <c r="N2" s="121" t="s">
        <v>135</v>
      </c>
      <c r="O2" s="184" t="e">
        <f>[1]!QUOTE(N1,O1,"現在値")</f>
        <v>#VALUE!</v>
      </c>
      <c r="P2" s="121" t="s">
        <v>191</v>
      </c>
      <c r="Q2" s="122" t="e">
        <f>[1]!QUOTE(N1,O1,"前日比")</f>
        <v>#VALUE!</v>
      </c>
      <c r="R2" s="123" t="e">
        <f>"("&amp;[1]!QUOTE(N1,O1,"前日比率")&amp;")"</f>
        <v>#VALUE!</v>
      </c>
    </row>
    <row r="3" spans="1:18" ht="13.5" thickBot="1" x14ac:dyDescent="0.25">
      <c r="A3" s="107" t="str">
        <f>[1]!NEWORDER(C6,C7,C8,C9,C10,C11,C12,C13,C14,C15,C16,C17,C18,C19,C20,C21,C22,C23)</f>
        <v/>
      </c>
      <c r="B3" s="1" t="s">
        <v>148</v>
      </c>
      <c r="F3" s="107" t="str">
        <f>[1]!Replaceorder(H6,C9,C10,C11,C15,C16,C17,H7,C19,C20,C21)</f>
        <v/>
      </c>
      <c r="G3" s="1" t="s">
        <v>148</v>
      </c>
      <c r="J3" s="107" t="str">
        <f>[1]!ordercancel(L6,C15,C16,C17,L7,C21)</f>
        <v/>
      </c>
      <c r="K3" s="1" t="s">
        <v>148</v>
      </c>
      <c r="N3" s="121" t="s">
        <v>192</v>
      </c>
      <c r="O3" s="183" t="e">
        <f>[1]!QUOTE(N1,O1,"前日終値")</f>
        <v>#VALUE!</v>
      </c>
      <c r="P3" s="121" t="s">
        <v>193</v>
      </c>
      <c r="Q3" s="351" t="s">
        <v>194</v>
      </c>
      <c r="R3" s="124" t="s">
        <v>195</v>
      </c>
    </row>
    <row r="4" spans="1:18" x14ac:dyDescent="0.2">
      <c r="N4" s="125" t="s">
        <v>196</v>
      </c>
      <c r="O4" s="126" t="e">
        <f>[1]!QUOTE(N1,O1,"出来高")</f>
        <v>#VALUE!</v>
      </c>
      <c r="P4" s="127" t="e">
        <f>1-R4</f>
        <v>#VALUE!</v>
      </c>
      <c r="Q4" s="352"/>
      <c r="R4" s="128" t="e">
        <f>[1]!QUOTE(N1,O1,"買付強度")</f>
        <v>#VALUE!</v>
      </c>
    </row>
    <row r="5" spans="1:18" x14ac:dyDescent="0.2">
      <c r="A5" s="340" t="s">
        <v>57</v>
      </c>
      <c r="B5" s="341"/>
      <c r="C5" s="341"/>
      <c r="D5" s="342"/>
      <c r="F5" s="340" t="s">
        <v>173</v>
      </c>
      <c r="G5" s="292"/>
      <c r="H5" s="293"/>
      <c r="J5" s="340" t="s">
        <v>174</v>
      </c>
      <c r="K5" s="292"/>
      <c r="L5" s="293"/>
      <c r="N5" s="348" t="s">
        <v>20</v>
      </c>
      <c r="O5" s="353"/>
      <c r="P5" s="119" t="s">
        <v>21</v>
      </c>
      <c r="Q5" s="129" t="s">
        <v>22</v>
      </c>
      <c r="R5" s="130" t="s">
        <v>23</v>
      </c>
    </row>
    <row r="6" spans="1:18" x14ac:dyDescent="0.2">
      <c r="A6" s="3" t="s">
        <v>58</v>
      </c>
      <c r="B6" s="141" t="s">
        <v>59</v>
      </c>
      <c r="C6" s="203">
        <v>8609</v>
      </c>
      <c r="D6" s="148"/>
      <c r="F6" s="14" t="s">
        <v>176</v>
      </c>
      <c r="G6" s="141" t="s">
        <v>55</v>
      </c>
      <c r="H6" s="206"/>
      <c r="J6" s="14" t="s">
        <v>176</v>
      </c>
      <c r="K6" s="141" t="s">
        <v>55</v>
      </c>
      <c r="L6" s="206"/>
      <c r="N6" s="354"/>
      <c r="O6" s="355"/>
      <c r="P6" s="131" t="e">
        <f>[1]!BOARD(N1,O1,"成行売気配数量")</f>
        <v>#VALUE!</v>
      </c>
      <c r="Q6" s="132" t="s">
        <v>24</v>
      </c>
      <c r="R6" s="133" t="e">
        <f>[1]!BOARD(N1,O1,"成行買気配数量")</f>
        <v>#VALUE!</v>
      </c>
    </row>
    <row r="7" spans="1:18" ht="78" x14ac:dyDescent="0.2">
      <c r="A7" s="7" t="s">
        <v>60</v>
      </c>
      <c r="B7" s="113" t="s">
        <v>61</v>
      </c>
      <c r="C7" s="204" t="s">
        <v>62</v>
      </c>
      <c r="D7" s="139" t="s">
        <v>248</v>
      </c>
      <c r="F7" s="16" t="s">
        <v>183</v>
      </c>
      <c r="G7" s="113" t="s">
        <v>175</v>
      </c>
      <c r="H7" s="207"/>
      <c r="J7" s="16" t="s">
        <v>180</v>
      </c>
      <c r="K7" s="113" t="s">
        <v>187</v>
      </c>
      <c r="L7" s="207"/>
      <c r="N7" s="356" t="e">
        <f>[1]!BOARD(N1,O1,"出来高-2")</f>
        <v>#VALUE!</v>
      </c>
      <c r="O7" s="357"/>
      <c r="P7" s="134" t="e">
        <f>[1]!BOARD(N1,O1,"売気配数量-2")</f>
        <v>#VALUE!</v>
      </c>
      <c r="Q7" s="161" t="e">
        <f>[1]!BOARD(N1,O1,"気配値-2")</f>
        <v>#VALUE!</v>
      </c>
      <c r="R7" s="135" t="e">
        <f>[1]!BOARD(N1,O1,"買気配数量-2")</f>
        <v>#VALUE!</v>
      </c>
    </row>
    <row r="8" spans="1:18" x14ac:dyDescent="0.2">
      <c r="A8" s="7" t="s">
        <v>63</v>
      </c>
      <c r="B8" s="113" t="s">
        <v>64</v>
      </c>
      <c r="C8" s="204">
        <v>3</v>
      </c>
      <c r="D8" s="149" t="s">
        <v>129</v>
      </c>
      <c r="F8" s="16"/>
      <c r="G8" s="113"/>
      <c r="H8" s="150"/>
      <c r="J8" s="155"/>
      <c r="K8" s="156"/>
      <c r="L8" s="157"/>
      <c r="N8" s="344" t="e">
        <f>[1]!BOARD(N1,O1,"出来高-1")</f>
        <v>#VALUE!</v>
      </c>
      <c r="O8" s="345"/>
      <c r="P8" s="136" t="e">
        <f>[1]!BOARD(N1,O1,"売気配数量-1")</f>
        <v>#VALUE!</v>
      </c>
      <c r="Q8" s="162" t="e">
        <f>[1]!BOARD(N1,O1,"気配値-1")</f>
        <v>#VALUE!</v>
      </c>
      <c r="R8" s="137" t="e">
        <f>[1]!BOARD(N1,O1,"買気配数量-1")</f>
        <v>#VALUE!</v>
      </c>
    </row>
    <row r="9" spans="1:18" x14ac:dyDescent="0.2">
      <c r="A9" s="7" t="s">
        <v>65</v>
      </c>
      <c r="B9" s="113" t="s">
        <v>66</v>
      </c>
      <c r="C9" s="118">
        <v>1</v>
      </c>
      <c r="D9" s="149" t="s">
        <v>165</v>
      </c>
      <c r="F9" s="16" t="s">
        <v>177</v>
      </c>
      <c r="G9" s="113" t="s">
        <v>66</v>
      </c>
      <c r="H9" s="150">
        <f>C9</f>
        <v>1</v>
      </c>
      <c r="J9" s="93"/>
      <c r="K9" s="112"/>
      <c r="L9" s="94"/>
      <c r="N9" s="344" t="e">
        <f>[1]!BOARD(N1,O1,"出来高0")</f>
        <v>#VALUE!</v>
      </c>
      <c r="O9" s="345"/>
      <c r="P9" s="136" t="e">
        <f>[1]!BOARD(N1,O1,"売気配数量0")</f>
        <v>#VALUE!</v>
      </c>
      <c r="Q9" s="162" t="e">
        <f>[1]!BOARD(N1,O1,"気配値0")</f>
        <v>#VALUE!</v>
      </c>
      <c r="R9" s="137" t="e">
        <f>[1]!BOARD(N1,O1,"買気配数量0")</f>
        <v>#VALUE!</v>
      </c>
    </row>
    <row r="10" spans="1:18" x14ac:dyDescent="0.2">
      <c r="A10" s="7" t="s">
        <v>67</v>
      </c>
      <c r="B10" s="113" t="s">
        <v>68</v>
      </c>
      <c r="C10" s="118">
        <v>400</v>
      </c>
      <c r="D10" s="149" t="s">
        <v>166</v>
      </c>
      <c r="F10" s="16" t="s">
        <v>178</v>
      </c>
      <c r="G10" s="113" t="s">
        <v>68</v>
      </c>
      <c r="H10" s="150">
        <f>C10</f>
        <v>400</v>
      </c>
      <c r="J10" s="93"/>
      <c r="K10" s="112"/>
      <c r="L10" s="94"/>
      <c r="N10" s="344" t="e">
        <f>[1]!BOARD(N1,O1,"出来高1")</f>
        <v>#VALUE!</v>
      </c>
      <c r="O10" s="345"/>
      <c r="P10" s="136" t="e">
        <f>[1]!BOARD(N1,O1,"売気配数量1")</f>
        <v>#VALUE!</v>
      </c>
      <c r="Q10" s="162" t="e">
        <f>[1]!BOARD(N1,O1,"気配値1")</f>
        <v>#VALUE!</v>
      </c>
      <c r="R10" s="137" t="e">
        <f>[1]!BOARD(N1,O1,"買気配数量1")</f>
        <v>#VALUE!</v>
      </c>
    </row>
    <row r="11" spans="1:18" x14ac:dyDescent="0.2">
      <c r="A11" s="7" t="s">
        <v>69</v>
      </c>
      <c r="B11" s="113" t="s">
        <v>70</v>
      </c>
      <c r="C11" s="118">
        <v>100</v>
      </c>
      <c r="D11" s="149" t="s">
        <v>71</v>
      </c>
      <c r="F11" s="16" t="s">
        <v>179</v>
      </c>
      <c r="G11" s="113" t="s">
        <v>70</v>
      </c>
      <c r="H11" s="150">
        <f>C11</f>
        <v>100</v>
      </c>
      <c r="J11" s="93"/>
      <c r="K11" s="112"/>
      <c r="L11" s="94"/>
      <c r="N11" s="344" t="e">
        <f>[1]!BOARD(N1,O1,"出来高2")</f>
        <v>#VALUE!</v>
      </c>
      <c r="O11" s="345"/>
      <c r="P11" s="136" t="e">
        <f>[1]!BOARD(N1,O1,"売気配数量2")</f>
        <v>#VALUE!</v>
      </c>
      <c r="Q11" s="162" t="e">
        <f>[1]!BOARD(N1,O1,"気配値2")</f>
        <v>#VALUE!</v>
      </c>
      <c r="R11" s="137" t="e">
        <f>[1]!BOARD(N1,O1,"買気配数量2")</f>
        <v>#VALUE!</v>
      </c>
    </row>
    <row r="12" spans="1:18" x14ac:dyDescent="0.2">
      <c r="A12" s="7" t="s">
        <v>72</v>
      </c>
      <c r="B12" s="113" t="s">
        <v>73</v>
      </c>
      <c r="C12" s="204" t="s">
        <v>167</v>
      </c>
      <c r="D12" s="149" t="s">
        <v>130</v>
      </c>
      <c r="F12" s="155"/>
      <c r="G12" s="156"/>
      <c r="H12" s="157"/>
      <c r="J12" s="93"/>
      <c r="K12" s="112"/>
      <c r="L12" s="94"/>
      <c r="N12" s="344" t="e">
        <f>[1]!BOARD(N1,O1,"出来高3")</f>
        <v>#VALUE!</v>
      </c>
      <c r="O12" s="345"/>
      <c r="P12" s="136" t="e">
        <f>[1]!BOARD(N1,O1,"売気配数量3")</f>
        <v>#VALUE!</v>
      </c>
      <c r="Q12" s="162" t="e">
        <f>[1]!BOARD(N1,O1,"気配値3")</f>
        <v>#VALUE!</v>
      </c>
      <c r="R12" s="137" t="e">
        <f>[1]!BOARD(N1,O1,"買気配数量3")</f>
        <v>#VALUE!</v>
      </c>
    </row>
    <row r="13" spans="1:18" x14ac:dyDescent="0.2">
      <c r="A13" s="7" t="s">
        <v>74</v>
      </c>
      <c r="B13" s="113" t="s">
        <v>75</v>
      </c>
      <c r="C13" s="204"/>
      <c r="D13" s="149" t="s">
        <v>76</v>
      </c>
      <c r="F13" s="93"/>
      <c r="G13" s="112"/>
      <c r="H13" s="94"/>
      <c r="J13" s="93"/>
      <c r="K13" s="112"/>
      <c r="L13" s="94"/>
      <c r="N13" s="344" t="e">
        <f>[1]!BOARD(N1,O1,"出来高4")</f>
        <v>#VALUE!</v>
      </c>
      <c r="O13" s="345"/>
      <c r="P13" s="136" t="e">
        <f>[1]!BOARD(N1,O1,"売気配数量4")</f>
        <v>#VALUE!</v>
      </c>
      <c r="Q13" s="162" t="e">
        <f>[1]!BOARD(N1,O1,"気配値4")</f>
        <v>#VALUE!</v>
      </c>
      <c r="R13" s="137" t="e">
        <f>[1]!BOARD(N1,O1,"買気配数量4")</f>
        <v>#VALUE!</v>
      </c>
    </row>
    <row r="14" spans="1:18" ht="26" x14ac:dyDescent="0.2">
      <c r="A14" s="7" t="s">
        <v>77</v>
      </c>
      <c r="B14" s="113" t="s">
        <v>78</v>
      </c>
      <c r="C14" s="204">
        <v>0</v>
      </c>
      <c r="D14" s="139" t="s">
        <v>249</v>
      </c>
      <c r="F14" s="158"/>
      <c r="G14" s="159"/>
      <c r="H14" s="160"/>
      <c r="J14" s="158"/>
      <c r="K14" s="159"/>
      <c r="L14" s="160"/>
      <c r="N14" s="344" t="e">
        <f>[1]!BOARD(N1,O1,"出来高5")</f>
        <v>#VALUE!</v>
      </c>
      <c r="O14" s="345"/>
      <c r="P14" s="136" t="e">
        <f>[1]!BOARD(N1,O1,"売気配数量5")</f>
        <v>#VALUE!</v>
      </c>
      <c r="Q14" s="162" t="e">
        <f>[1]!BOARD(N1,O1,"気配値5")</f>
        <v>#VALUE!</v>
      </c>
      <c r="R14" s="137" t="e">
        <f>[1]!BOARD(N1,O1,"買気配数量5")</f>
        <v>#VALUE!</v>
      </c>
    </row>
    <row r="15" spans="1:18" x14ac:dyDescent="0.2">
      <c r="A15" s="7" t="s">
        <v>79</v>
      </c>
      <c r="B15" s="113" t="s">
        <v>82</v>
      </c>
      <c r="C15" s="118">
        <v>0</v>
      </c>
      <c r="D15" s="149" t="s">
        <v>80</v>
      </c>
      <c r="F15" s="16" t="s">
        <v>180</v>
      </c>
      <c r="G15" s="113" t="s">
        <v>138</v>
      </c>
      <c r="H15" s="150">
        <f>C15</f>
        <v>0</v>
      </c>
      <c r="J15" s="16" t="s">
        <v>177</v>
      </c>
      <c r="K15" s="113" t="s">
        <v>138</v>
      </c>
      <c r="L15" s="150">
        <f>C15</f>
        <v>0</v>
      </c>
      <c r="N15" s="344" t="e">
        <f>[1]!BOARD(N1,O1,"出来高6")</f>
        <v>#VALUE!</v>
      </c>
      <c r="O15" s="345"/>
      <c r="P15" s="136" t="e">
        <f>[1]!BOARD(N1,O1,"売気配数量6")</f>
        <v>#VALUE!</v>
      </c>
      <c r="Q15" s="162" t="e">
        <f>[1]!BOARD(N1,O1,"気配値6")</f>
        <v>#VALUE!</v>
      </c>
      <c r="R15" s="137" t="e">
        <f>[1]!BOARD(N1,O1,"買気配数量6")</f>
        <v>#VALUE!</v>
      </c>
    </row>
    <row r="16" spans="1:18" x14ac:dyDescent="0.2">
      <c r="A16" s="7" t="s">
        <v>81</v>
      </c>
      <c r="B16" s="113" t="s">
        <v>131</v>
      </c>
      <c r="C16" s="118">
        <v>1</v>
      </c>
      <c r="D16" s="149" t="s">
        <v>247</v>
      </c>
      <c r="F16" s="16" t="s">
        <v>181</v>
      </c>
      <c r="G16" s="113" t="s">
        <v>131</v>
      </c>
      <c r="H16" s="150">
        <f>C16</f>
        <v>1</v>
      </c>
      <c r="J16" s="16" t="s">
        <v>178</v>
      </c>
      <c r="K16" s="113" t="s">
        <v>131</v>
      </c>
      <c r="L16" s="150">
        <f>C16</f>
        <v>1</v>
      </c>
      <c r="N16" s="344" t="e">
        <f>[1]!BOARD(N1,O1,"出来高7")</f>
        <v>#VALUE!</v>
      </c>
      <c r="O16" s="345"/>
      <c r="P16" s="136" t="e">
        <f>[1]!BOARD(N1,O1,"売気配数量7")</f>
        <v>#VALUE!</v>
      </c>
      <c r="Q16" s="162" t="e">
        <f>[1]!BOARD(N1,O1,"気配値7")</f>
        <v>#VALUE!</v>
      </c>
      <c r="R16" s="137" t="e">
        <f>[1]!BOARD(N1,O1,"買気配数量7")</f>
        <v>#VALUE!</v>
      </c>
    </row>
    <row r="17" spans="1:24" x14ac:dyDescent="0.2">
      <c r="A17" s="7" t="s">
        <v>168</v>
      </c>
      <c r="B17" s="113" t="s">
        <v>83</v>
      </c>
      <c r="C17" s="118" t="s">
        <v>551</v>
      </c>
      <c r="D17" s="149" t="s">
        <v>169</v>
      </c>
      <c r="F17" s="16" t="s">
        <v>182</v>
      </c>
      <c r="G17" s="113" t="s">
        <v>83</v>
      </c>
      <c r="H17" s="150" t="str">
        <f>C17</f>
        <v>demo</v>
      </c>
      <c r="J17" s="16" t="s">
        <v>179</v>
      </c>
      <c r="K17" s="113" t="s">
        <v>83</v>
      </c>
      <c r="L17" s="150" t="str">
        <f>C17</f>
        <v>demo</v>
      </c>
      <c r="N17" s="344" t="e">
        <f>[1]!BOARD(N1,O1,"出来高8")</f>
        <v>#VALUE!</v>
      </c>
      <c r="O17" s="345"/>
      <c r="P17" s="136" t="e">
        <f>[1]!BOARD(N1,O1,"売気配数量8")</f>
        <v>#VALUE!</v>
      </c>
      <c r="Q17" s="162" t="e">
        <f>[1]!BOARD(N1,O1,"気配値8")</f>
        <v>#VALUE!</v>
      </c>
      <c r="R17" s="137" t="e">
        <f>[1]!BOARD(N1,O1,"買気配数量8")</f>
        <v>#VALUE!</v>
      </c>
    </row>
    <row r="18" spans="1:24" x14ac:dyDescent="0.2">
      <c r="A18" s="7" t="s">
        <v>170</v>
      </c>
      <c r="B18" s="113" t="s">
        <v>84</v>
      </c>
      <c r="C18" s="204">
        <v>2</v>
      </c>
      <c r="D18" s="149" t="s">
        <v>85</v>
      </c>
      <c r="F18" s="16"/>
      <c r="G18" s="113"/>
      <c r="H18" s="150"/>
      <c r="J18" s="155"/>
      <c r="K18" s="156"/>
      <c r="L18" s="157"/>
      <c r="N18" s="344" t="e">
        <f>[1]!BOARD(N1,O1,"出来高9")</f>
        <v>#VALUE!</v>
      </c>
      <c r="O18" s="345"/>
      <c r="P18" s="136" t="e">
        <f>[1]!BOARD(N1,O1,"売気配数量9")</f>
        <v>#VALUE!</v>
      </c>
      <c r="Q18" s="162" t="e">
        <f>[1]!BOARD(N1,O1,"気配値9")</f>
        <v>#VALUE!</v>
      </c>
      <c r="R18" s="137" t="e">
        <f>[1]!BOARD(N1,O1,"買気配数量9")</f>
        <v>#VALUE!</v>
      </c>
    </row>
    <row r="19" spans="1:24" ht="26" x14ac:dyDescent="0.2">
      <c r="A19" s="7" t="s">
        <v>149</v>
      </c>
      <c r="B19" s="113" t="s">
        <v>150</v>
      </c>
      <c r="C19" s="118"/>
      <c r="D19" s="139" t="s">
        <v>250</v>
      </c>
      <c r="F19" s="16" t="s">
        <v>184</v>
      </c>
      <c r="G19" s="113" t="s">
        <v>150</v>
      </c>
      <c r="H19" s="150">
        <f>C19</f>
        <v>0</v>
      </c>
      <c r="J19" s="93"/>
      <c r="K19" s="112"/>
      <c r="L19" s="94"/>
      <c r="N19" s="344" t="e">
        <f>[1]!BOARD(N1,O1,"出来高10")</f>
        <v>#VALUE!</v>
      </c>
      <c r="O19" s="345"/>
      <c r="P19" s="136" t="e">
        <f>[1]!BOARD(N1,O1,"売気配数量10")</f>
        <v>#VALUE!</v>
      </c>
      <c r="Q19" s="162" t="e">
        <f>[1]!BOARD(N1,O1,"気配値10")</f>
        <v>#VALUE!</v>
      </c>
      <c r="R19" s="137" t="e">
        <f>[1]!BOARD(N1,O1,"買気配数量10")</f>
        <v>#VALUE!</v>
      </c>
    </row>
    <row r="20" spans="1:24" x14ac:dyDescent="0.2">
      <c r="A20" s="7" t="s">
        <v>151</v>
      </c>
      <c r="B20" s="113" t="s">
        <v>152</v>
      </c>
      <c r="C20" s="118"/>
      <c r="D20" s="139" t="s">
        <v>197</v>
      </c>
      <c r="F20" s="16" t="s">
        <v>185</v>
      </c>
      <c r="G20" s="113" t="s">
        <v>152</v>
      </c>
      <c r="H20" s="150">
        <f>C20</f>
        <v>0</v>
      </c>
      <c r="J20" s="158"/>
      <c r="K20" s="159"/>
      <c r="L20" s="160"/>
      <c r="N20" s="344" t="e">
        <f>[1]!BOARD(N1,O1,"出来高11")</f>
        <v>#VALUE!</v>
      </c>
      <c r="O20" s="345"/>
      <c r="P20" s="136" t="e">
        <f>[1]!BOARD(N1,O1,"売気配数量11")</f>
        <v>#VALUE!</v>
      </c>
      <c r="Q20" s="162" t="e">
        <f>[1]!BOARD(N1,O1,"気配値11")</f>
        <v>#VALUE!</v>
      </c>
      <c r="R20" s="137" t="e">
        <f>[1]!BOARD(N1,O1,"買気配数量11")</f>
        <v>#VALUE!</v>
      </c>
    </row>
    <row r="21" spans="1:24" ht="26" x14ac:dyDescent="0.2">
      <c r="A21" s="7" t="s">
        <v>153</v>
      </c>
      <c r="B21" s="113" t="s">
        <v>154</v>
      </c>
      <c r="C21" s="118">
        <v>0</v>
      </c>
      <c r="D21" s="139" t="s">
        <v>251</v>
      </c>
      <c r="F21" s="16" t="s">
        <v>186</v>
      </c>
      <c r="G21" s="113" t="s">
        <v>188</v>
      </c>
      <c r="H21" s="150">
        <f>C21</f>
        <v>0</v>
      </c>
      <c r="I21" s="93"/>
      <c r="J21" s="16" t="s">
        <v>181</v>
      </c>
      <c r="K21" s="113" t="s">
        <v>188</v>
      </c>
      <c r="L21" s="150">
        <f>C21</f>
        <v>0</v>
      </c>
      <c r="N21" s="344" t="e">
        <f>[1]!BOARD(N1,O1,"出来高12")</f>
        <v>#VALUE!</v>
      </c>
      <c r="O21" s="345"/>
      <c r="P21" s="136" t="e">
        <f>[1]!BOARD(N1,O1,"売気配数量12")</f>
        <v>#VALUE!</v>
      </c>
      <c r="Q21" s="162" t="e">
        <f>[1]!BOARD(N1,O1,"気配値12")</f>
        <v>#VALUE!</v>
      </c>
      <c r="R21" s="137" t="e">
        <f>[1]!BOARD(N1,O1,"買気配数量12")</f>
        <v>#VALUE!</v>
      </c>
    </row>
    <row r="22" spans="1:24" ht="26" x14ac:dyDescent="0.2">
      <c r="A22" s="194" t="s">
        <v>155</v>
      </c>
      <c r="B22" s="156" t="s">
        <v>156</v>
      </c>
      <c r="C22" s="205">
        <v>0</v>
      </c>
      <c r="D22" s="195" t="s">
        <v>252</v>
      </c>
      <c r="E22" s="93"/>
      <c r="F22" s="155"/>
      <c r="G22" s="156"/>
      <c r="H22" s="157"/>
      <c r="J22" s="155"/>
      <c r="K22" s="156"/>
      <c r="L22" s="157"/>
      <c r="M22" s="93"/>
      <c r="N22" s="346" t="e">
        <f>[1]!BOARD(N1,O1,"出来高13")</f>
        <v>#VALUE!</v>
      </c>
      <c r="O22" s="347"/>
      <c r="P22" s="131" t="e">
        <f>[1]!BOARD(N1,O1,"売気配数量13")</f>
        <v>#VALUE!</v>
      </c>
      <c r="Q22" s="201" t="e">
        <f>[1]!BOARD(N1,O1,"気配値13")</f>
        <v>#VALUE!</v>
      </c>
      <c r="R22" s="133" t="e">
        <f>[1]!BOARD(N1,O1,"買気配数量13")</f>
        <v>#VALUE!</v>
      </c>
      <c r="S22" s="197"/>
    </row>
    <row r="23" spans="1:24" ht="26" x14ac:dyDescent="0.2">
      <c r="A23" s="10" t="s">
        <v>201</v>
      </c>
      <c r="B23" s="114" t="s">
        <v>202</v>
      </c>
      <c r="C23" s="220"/>
      <c r="D23" s="140" t="s">
        <v>253</v>
      </c>
      <c r="F23" s="196"/>
      <c r="G23" s="196"/>
      <c r="H23" s="196"/>
      <c r="I23" s="196"/>
      <c r="J23" s="196"/>
      <c r="K23" s="196"/>
      <c r="L23" s="196"/>
      <c r="N23" s="198"/>
      <c r="O23" s="198"/>
      <c r="P23" s="199"/>
      <c r="Q23" s="200"/>
      <c r="R23" s="199"/>
    </row>
    <row r="25" spans="1:24" x14ac:dyDescent="0.2">
      <c r="A25" s="86" t="s">
        <v>190</v>
      </c>
    </row>
    <row r="26" spans="1:24" ht="13.5" customHeight="1" x14ac:dyDescent="0.2">
      <c r="A26" t="e">
        <f>[1]!ORDQUERY("4",A28,A29)</f>
        <v>#N/A</v>
      </c>
      <c r="B26" t="e">
        <f>[1]!ORDQUERY("4",B28,B29)</f>
        <v>#N/A</v>
      </c>
      <c r="C26" t="e">
        <f>[1]!ORDQUERY("4",C28,C29)</f>
        <v>#N/A</v>
      </c>
      <c r="D26" t="e">
        <f>[1]!ORDQUERY("4",D28,D29)</f>
        <v>#N/A</v>
      </c>
      <c r="E26" t="e">
        <f>[1]!ORDQUERY("4",E28,E29)</f>
        <v>#N/A</v>
      </c>
      <c r="F26" t="e">
        <f>[1]!ORDQUERY("4",F28,F29)</f>
        <v>#N/A</v>
      </c>
      <c r="G26" t="e">
        <f>[1]!ORDQUERY("4",G28,G29)</f>
        <v>#N/A</v>
      </c>
      <c r="H26" t="e">
        <f>[1]!ORDQUERY("4",H28,H29)</f>
        <v>#N/A</v>
      </c>
      <c r="I26" t="e">
        <f>[1]!ORDQUERY("4",I28,I29)</f>
        <v>#N/A</v>
      </c>
      <c r="J26" t="e">
        <f>[1]!ORDQUERY("4",J28,J29)</f>
        <v>#N/A</v>
      </c>
      <c r="K26" t="e">
        <f>[1]!ORDQUERY("4",K28,K29)</f>
        <v>#N/A</v>
      </c>
      <c r="L26" t="e">
        <f>[1]!ORDQUERY("4",L28,L29)</f>
        <v>#N/A</v>
      </c>
      <c r="M26" t="e">
        <f>[1]!ORDQUERY("4",M28,M29)</f>
        <v>#N/A</v>
      </c>
      <c r="N26" t="e">
        <f>[1]!ORDQUERY("4",N28,N29)</f>
        <v>#N/A</v>
      </c>
      <c r="O26" t="e">
        <f>[1]!ORDQUERY("4",O28,O29)</f>
        <v>#N/A</v>
      </c>
      <c r="P26" t="e">
        <f>[1]!ORDQUERY("4",P28,P29)</f>
        <v>#N/A</v>
      </c>
      <c r="Q26" t="e">
        <f>[1]!ORDQUERY("4",Q28,Q29)</f>
        <v>#N/A</v>
      </c>
      <c r="R26" t="e">
        <f>[1]!ORDQUERY("4",R28,R29)</f>
        <v>#N/A</v>
      </c>
      <c r="S26" t="e">
        <f>[1]!ORDQUERY("4",S28,S29)</f>
        <v>#N/A</v>
      </c>
      <c r="T26" t="e">
        <f>[1]!ORDQUERY("4",T28,T29)</f>
        <v>#N/A</v>
      </c>
      <c r="U26" t="e">
        <f>[1]!ORDQUERY("4",U28,U29)</f>
        <v>#N/A</v>
      </c>
      <c r="V26" t="e">
        <f>[1]!ORDQUERY("4",V28,V29)</f>
        <v>#N/A</v>
      </c>
      <c r="W26" t="e">
        <f>[1]!ORDQUERY("4",W28,W29)</f>
        <v>#N/A</v>
      </c>
      <c r="X26" t="e">
        <f>[1]!ORDQUERY("4",X28,X29)</f>
        <v>#N/A</v>
      </c>
    </row>
    <row r="27" spans="1:24" ht="13.5" customHeight="1" x14ac:dyDescent="0.2">
      <c r="A27" s="289" t="s">
        <v>126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0"/>
      <c r="T27" s="290"/>
      <c r="U27" s="290"/>
      <c r="V27" s="290"/>
      <c r="W27" s="290"/>
      <c r="X27" s="291"/>
    </row>
    <row r="28" spans="1:24" ht="13.5" customHeight="1" x14ac:dyDescent="0.2">
      <c r="A28" s="52" t="s">
        <v>59</v>
      </c>
      <c r="B28" s="45" t="s">
        <v>88</v>
      </c>
      <c r="C28" s="45" t="s">
        <v>89</v>
      </c>
      <c r="D28" s="45" t="s">
        <v>90</v>
      </c>
      <c r="E28" s="45" t="s">
        <v>91</v>
      </c>
      <c r="F28" s="45" t="s">
        <v>92</v>
      </c>
      <c r="G28" s="45" t="s">
        <v>93</v>
      </c>
      <c r="H28" s="45" t="s">
        <v>55</v>
      </c>
      <c r="I28" s="45" t="s">
        <v>94</v>
      </c>
      <c r="J28" s="74" t="s">
        <v>95</v>
      </c>
      <c r="K28" s="45" t="s">
        <v>96</v>
      </c>
      <c r="L28" s="45" t="s">
        <v>78</v>
      </c>
      <c r="M28" s="45" t="s">
        <v>97</v>
      </c>
      <c r="N28" s="45" t="s">
        <v>98</v>
      </c>
      <c r="O28" s="45" t="s">
        <v>102</v>
      </c>
      <c r="P28" s="45" t="s">
        <v>103</v>
      </c>
      <c r="Q28" s="45" t="s">
        <v>104</v>
      </c>
      <c r="R28" s="45" t="s">
        <v>105</v>
      </c>
      <c r="S28" s="45" t="s">
        <v>106</v>
      </c>
      <c r="T28" s="45" t="s">
        <v>107</v>
      </c>
      <c r="U28" s="45" t="s">
        <v>66</v>
      </c>
      <c r="V28" s="45" t="s">
        <v>108</v>
      </c>
      <c r="W28" s="45" t="s">
        <v>109</v>
      </c>
      <c r="X28" s="47" t="s">
        <v>110</v>
      </c>
    </row>
    <row r="29" spans="1:24" x14ac:dyDescent="0.2">
      <c r="A29" s="3">
        <v>8609</v>
      </c>
      <c r="B29" s="141" t="s">
        <v>245</v>
      </c>
      <c r="C29" s="141" t="s">
        <v>147</v>
      </c>
      <c r="D29" s="141">
        <v>458</v>
      </c>
      <c r="E29" s="141">
        <v>480</v>
      </c>
      <c r="F29" s="141">
        <v>-22</v>
      </c>
      <c r="G29" s="146">
        <v>-4.58E-2</v>
      </c>
      <c r="H29" s="141">
        <v>50</v>
      </c>
      <c r="I29" s="141" t="s">
        <v>508</v>
      </c>
      <c r="J29" s="141" t="s">
        <v>239</v>
      </c>
      <c r="K29" s="141" t="s">
        <v>360</v>
      </c>
      <c r="L29" s="141" t="s">
        <v>281</v>
      </c>
      <c r="M29" s="141"/>
      <c r="N29" s="141" t="s">
        <v>246</v>
      </c>
      <c r="O29" s="141" t="s">
        <v>510</v>
      </c>
      <c r="P29" s="141" t="s">
        <v>244</v>
      </c>
      <c r="Q29" s="188">
        <v>45015</v>
      </c>
      <c r="R29" s="141">
        <v>100</v>
      </c>
      <c r="S29" s="141">
        <v>0</v>
      </c>
      <c r="T29" s="141">
        <v>0</v>
      </c>
      <c r="U29" s="141" t="s">
        <v>242</v>
      </c>
      <c r="V29" s="141">
        <v>400</v>
      </c>
      <c r="W29" s="141" t="s">
        <v>289</v>
      </c>
      <c r="X29" s="142" t="s">
        <v>289</v>
      </c>
    </row>
    <row r="30" spans="1:24" x14ac:dyDescent="0.2">
      <c r="A30" s="7">
        <v>8609</v>
      </c>
      <c r="B30" s="113" t="s">
        <v>245</v>
      </c>
      <c r="C30" s="113" t="s">
        <v>147</v>
      </c>
      <c r="D30" s="113">
        <v>458</v>
      </c>
      <c r="E30" s="113">
        <v>480</v>
      </c>
      <c r="F30" s="113">
        <v>-22</v>
      </c>
      <c r="G30" s="187">
        <v>-4.58E-2</v>
      </c>
      <c r="H30" s="113">
        <v>49</v>
      </c>
      <c r="I30" s="113" t="s">
        <v>508</v>
      </c>
      <c r="J30" s="113" t="s">
        <v>239</v>
      </c>
      <c r="K30" s="113" t="s">
        <v>360</v>
      </c>
      <c r="L30" s="113" t="s">
        <v>281</v>
      </c>
      <c r="M30" s="113"/>
      <c r="N30" s="113" t="s">
        <v>246</v>
      </c>
      <c r="O30" s="113" t="s">
        <v>509</v>
      </c>
      <c r="P30" s="113" t="s">
        <v>244</v>
      </c>
      <c r="Q30" s="189">
        <v>45015</v>
      </c>
      <c r="R30" s="113">
        <v>100</v>
      </c>
      <c r="S30" s="113">
        <v>0</v>
      </c>
      <c r="T30" s="113">
        <v>0</v>
      </c>
      <c r="U30" s="113" t="s">
        <v>242</v>
      </c>
      <c r="V30" s="113">
        <v>400</v>
      </c>
      <c r="W30" s="113" t="s">
        <v>289</v>
      </c>
      <c r="X30" s="143" t="s">
        <v>289</v>
      </c>
    </row>
    <row r="31" spans="1:24" x14ac:dyDescent="0.2">
      <c r="A31" s="7">
        <v>8609</v>
      </c>
      <c r="B31" s="113" t="s">
        <v>245</v>
      </c>
      <c r="C31" s="113" t="s">
        <v>147</v>
      </c>
      <c r="D31" s="113">
        <v>458</v>
      </c>
      <c r="E31" s="113">
        <v>480</v>
      </c>
      <c r="F31" s="113">
        <v>-22</v>
      </c>
      <c r="G31" s="187">
        <v>-4.58E-2</v>
      </c>
      <c r="H31" s="113">
        <v>48</v>
      </c>
      <c r="I31" s="113" t="s">
        <v>508</v>
      </c>
      <c r="J31" s="113" t="s">
        <v>239</v>
      </c>
      <c r="K31" s="113" t="s">
        <v>360</v>
      </c>
      <c r="L31" s="113" t="s">
        <v>281</v>
      </c>
      <c r="M31" s="113"/>
      <c r="N31" s="113" t="s">
        <v>246</v>
      </c>
      <c r="O31" s="113" t="s">
        <v>507</v>
      </c>
      <c r="P31" s="113" t="s">
        <v>244</v>
      </c>
      <c r="Q31" s="189">
        <v>45015</v>
      </c>
      <c r="R31" s="113">
        <v>100</v>
      </c>
      <c r="S31" s="113">
        <v>0</v>
      </c>
      <c r="T31" s="113">
        <v>0</v>
      </c>
      <c r="U31" s="113" t="s">
        <v>242</v>
      </c>
      <c r="V31" s="113">
        <v>400</v>
      </c>
      <c r="W31" s="113" t="s">
        <v>289</v>
      </c>
      <c r="X31" s="143" t="s">
        <v>289</v>
      </c>
    </row>
    <row r="32" spans="1:24" x14ac:dyDescent="0.2">
      <c r="A32" s="7" t="s">
        <v>163</v>
      </c>
      <c r="B32" s="113" t="s">
        <v>237</v>
      </c>
      <c r="C32" s="113" t="s">
        <v>237</v>
      </c>
      <c r="D32" s="113" t="s">
        <v>163</v>
      </c>
      <c r="E32" s="113" t="s">
        <v>163</v>
      </c>
      <c r="F32" s="113" t="s">
        <v>163</v>
      </c>
      <c r="G32" s="187" t="s">
        <v>163</v>
      </c>
      <c r="H32" s="113" t="s">
        <v>163</v>
      </c>
      <c r="I32" s="113" t="s">
        <v>237</v>
      </c>
      <c r="J32" s="113" t="s">
        <v>237</v>
      </c>
      <c r="K32" s="113" t="s">
        <v>237</v>
      </c>
      <c r="L32" s="113" t="s">
        <v>237</v>
      </c>
      <c r="M32" s="113" t="s">
        <v>163</v>
      </c>
      <c r="N32" s="113" t="s">
        <v>237</v>
      </c>
      <c r="O32" s="113" t="s">
        <v>237</v>
      </c>
      <c r="P32" s="113" t="s">
        <v>237</v>
      </c>
      <c r="Q32" s="189" t="s">
        <v>163</v>
      </c>
      <c r="R32" s="113" t="s">
        <v>163</v>
      </c>
      <c r="S32" s="113" t="s">
        <v>163</v>
      </c>
      <c r="T32" s="113" t="s">
        <v>163</v>
      </c>
      <c r="U32" s="113" t="s">
        <v>237</v>
      </c>
      <c r="V32" s="113" t="s">
        <v>163</v>
      </c>
      <c r="W32" s="113" t="s">
        <v>237</v>
      </c>
      <c r="X32" s="143" t="s">
        <v>237</v>
      </c>
    </row>
    <row r="33" spans="1:24" x14ac:dyDescent="0.2">
      <c r="A33" s="7">
        <v>8609</v>
      </c>
      <c r="B33" s="113" t="s">
        <v>245</v>
      </c>
      <c r="C33" s="113" t="s">
        <v>422</v>
      </c>
      <c r="D33" s="113">
        <v>389</v>
      </c>
      <c r="E33" s="113">
        <v>392</v>
      </c>
      <c r="F33" s="113">
        <v>-3</v>
      </c>
      <c r="G33" s="187">
        <v>-7.7000000000000002E-3</v>
      </c>
      <c r="H33" s="113">
        <v>6268</v>
      </c>
      <c r="I33" s="113" t="s">
        <v>379</v>
      </c>
      <c r="J33" s="113" t="s">
        <v>239</v>
      </c>
      <c r="K33" s="113" t="s">
        <v>406</v>
      </c>
      <c r="L33" s="113" t="s">
        <v>308</v>
      </c>
      <c r="M33" s="113"/>
      <c r="N33" s="113" t="s">
        <v>246</v>
      </c>
      <c r="O33" s="113" t="s">
        <v>376</v>
      </c>
      <c r="P33" s="113" t="s">
        <v>244</v>
      </c>
      <c r="Q33" s="189">
        <v>44547</v>
      </c>
      <c r="R33" s="113">
        <v>100</v>
      </c>
      <c r="S33" s="113">
        <v>100</v>
      </c>
      <c r="T33" s="113">
        <v>0</v>
      </c>
      <c r="U33" s="113" t="s">
        <v>243</v>
      </c>
      <c r="V33" s="113"/>
      <c r="W33" s="113" t="s">
        <v>395</v>
      </c>
      <c r="X33" s="143" t="s">
        <v>399</v>
      </c>
    </row>
    <row r="34" spans="1:24" x14ac:dyDescent="0.2">
      <c r="A34" s="7">
        <v>8609</v>
      </c>
      <c r="B34" s="113" t="s">
        <v>371</v>
      </c>
      <c r="C34" s="113" t="s">
        <v>383</v>
      </c>
      <c r="D34" s="113">
        <v>389</v>
      </c>
      <c r="E34" s="113">
        <v>392</v>
      </c>
      <c r="F34" s="113">
        <v>-3</v>
      </c>
      <c r="G34" s="187">
        <v>-7.7000000000000002E-3</v>
      </c>
      <c r="H34" s="113">
        <v>6267</v>
      </c>
      <c r="I34" s="113" t="s">
        <v>424</v>
      </c>
      <c r="J34" s="113" t="s">
        <v>239</v>
      </c>
      <c r="K34" s="113" t="s">
        <v>407</v>
      </c>
      <c r="L34" s="113"/>
      <c r="M34" s="113"/>
      <c r="N34" s="113" t="s">
        <v>373</v>
      </c>
      <c r="O34" s="113" t="s">
        <v>366</v>
      </c>
      <c r="P34" s="113" t="s">
        <v>244</v>
      </c>
      <c r="Q34" s="189">
        <v>44547</v>
      </c>
      <c r="R34" s="113">
        <v>100</v>
      </c>
      <c r="S34" s="113">
        <v>100</v>
      </c>
      <c r="T34" s="113">
        <v>0</v>
      </c>
      <c r="U34" s="113" t="s">
        <v>243</v>
      </c>
      <c r="V34" s="113"/>
      <c r="W34" s="113" t="s">
        <v>238</v>
      </c>
      <c r="X34" s="143" t="s">
        <v>395</v>
      </c>
    </row>
    <row r="35" spans="1:24" x14ac:dyDescent="0.2">
      <c r="A35" s="7">
        <v>8609</v>
      </c>
      <c r="B35" s="113" t="s">
        <v>268</v>
      </c>
      <c r="C35" s="113" t="s">
        <v>383</v>
      </c>
      <c r="D35" s="113">
        <v>389</v>
      </c>
      <c r="E35" s="113">
        <v>392</v>
      </c>
      <c r="F35" s="113">
        <v>-3</v>
      </c>
      <c r="G35" s="187">
        <v>-7.7000000000000002E-3</v>
      </c>
      <c r="H35" s="113">
        <v>6266</v>
      </c>
      <c r="I35" s="113" t="s">
        <v>393</v>
      </c>
      <c r="J35" s="113" t="s">
        <v>290</v>
      </c>
      <c r="K35" s="113" t="s">
        <v>408</v>
      </c>
      <c r="L35" s="113" t="s">
        <v>308</v>
      </c>
      <c r="M35" s="113">
        <v>350</v>
      </c>
      <c r="N35" s="113" t="s">
        <v>373</v>
      </c>
      <c r="O35" s="113" t="s">
        <v>420</v>
      </c>
      <c r="P35" s="113" t="s">
        <v>244</v>
      </c>
      <c r="Q35" s="189">
        <v>44547</v>
      </c>
      <c r="R35" s="113">
        <v>100</v>
      </c>
      <c r="S35" s="113">
        <v>0</v>
      </c>
      <c r="T35" s="113">
        <v>100</v>
      </c>
      <c r="U35" s="113" t="s">
        <v>397</v>
      </c>
      <c r="V35" s="113"/>
      <c r="W35" s="113" t="s">
        <v>396</v>
      </c>
      <c r="X35" s="143" t="s">
        <v>396</v>
      </c>
    </row>
    <row r="36" spans="1:24" x14ac:dyDescent="0.2">
      <c r="A36" s="7">
        <v>8609</v>
      </c>
      <c r="B36" s="113" t="s">
        <v>413</v>
      </c>
      <c r="C36" s="113" t="s">
        <v>147</v>
      </c>
      <c r="D36" s="113">
        <v>389</v>
      </c>
      <c r="E36" s="113">
        <v>392</v>
      </c>
      <c r="F36" s="113">
        <v>-3</v>
      </c>
      <c r="G36" s="187">
        <v>-7.7000000000000002E-3</v>
      </c>
      <c r="H36" s="113">
        <v>6265</v>
      </c>
      <c r="I36" s="113" t="s">
        <v>312</v>
      </c>
      <c r="J36" s="113" t="s">
        <v>380</v>
      </c>
      <c r="K36" s="113" t="s">
        <v>408</v>
      </c>
      <c r="L36" s="113" t="s">
        <v>308</v>
      </c>
      <c r="M36" s="113">
        <v>390</v>
      </c>
      <c r="N36" s="113" t="s">
        <v>246</v>
      </c>
      <c r="O36" s="113" t="s">
        <v>377</v>
      </c>
      <c r="P36" s="113" t="s">
        <v>244</v>
      </c>
      <c r="Q36" s="189">
        <v>44547</v>
      </c>
      <c r="R36" s="113">
        <v>100</v>
      </c>
      <c r="S36" s="113">
        <v>0</v>
      </c>
      <c r="T36" s="113">
        <v>100</v>
      </c>
      <c r="U36" s="113" t="s">
        <v>243</v>
      </c>
      <c r="V36" s="113"/>
      <c r="W36" s="113" t="s">
        <v>385</v>
      </c>
      <c r="X36" s="143" t="s">
        <v>396</v>
      </c>
    </row>
    <row r="37" spans="1:24" x14ac:dyDescent="0.2">
      <c r="A37" s="7">
        <v>8609</v>
      </c>
      <c r="B37" s="113" t="s">
        <v>245</v>
      </c>
      <c r="C37" s="113" t="s">
        <v>147</v>
      </c>
      <c r="D37" s="113">
        <v>389</v>
      </c>
      <c r="E37" s="113">
        <v>392</v>
      </c>
      <c r="F37" s="113">
        <v>-3</v>
      </c>
      <c r="G37" s="187">
        <v>-7.7000000000000002E-3</v>
      </c>
      <c r="H37" s="113">
        <v>6264</v>
      </c>
      <c r="I37" s="113" t="s">
        <v>239</v>
      </c>
      <c r="J37" s="113" t="s">
        <v>263</v>
      </c>
      <c r="K37" s="113" t="s">
        <v>409</v>
      </c>
      <c r="L37" s="113" t="s">
        <v>308</v>
      </c>
      <c r="M37" s="113"/>
      <c r="N37" s="113" t="s">
        <v>373</v>
      </c>
      <c r="O37" s="113" t="s">
        <v>272</v>
      </c>
      <c r="P37" s="113" t="s">
        <v>244</v>
      </c>
      <c r="Q37" s="189">
        <v>44547</v>
      </c>
      <c r="R37" s="113">
        <v>100</v>
      </c>
      <c r="S37" s="113">
        <v>100</v>
      </c>
      <c r="T37" s="113">
        <v>0</v>
      </c>
      <c r="U37" s="113" t="s">
        <v>243</v>
      </c>
      <c r="V37" s="113"/>
      <c r="W37" s="113" t="s">
        <v>395</v>
      </c>
      <c r="X37" s="143" t="s">
        <v>395</v>
      </c>
    </row>
    <row r="38" spans="1:24" x14ac:dyDescent="0.2">
      <c r="A38" s="7">
        <v>8609</v>
      </c>
      <c r="B38" s="113" t="s">
        <v>371</v>
      </c>
      <c r="C38" s="113" t="s">
        <v>147</v>
      </c>
      <c r="D38" s="113">
        <v>389</v>
      </c>
      <c r="E38" s="113">
        <v>392</v>
      </c>
      <c r="F38" s="113">
        <v>-3</v>
      </c>
      <c r="G38" s="187">
        <v>-7.7000000000000002E-3</v>
      </c>
      <c r="H38" s="113">
        <v>6263</v>
      </c>
      <c r="I38" s="113" t="s">
        <v>239</v>
      </c>
      <c r="J38" s="113" t="s">
        <v>379</v>
      </c>
      <c r="K38" s="113" t="s">
        <v>406</v>
      </c>
      <c r="L38" s="113" t="s">
        <v>415</v>
      </c>
      <c r="M38" s="113"/>
      <c r="N38" s="113" t="s">
        <v>271</v>
      </c>
      <c r="O38" s="113" t="s">
        <v>367</v>
      </c>
      <c r="P38" s="113" t="s">
        <v>244</v>
      </c>
      <c r="Q38" s="189">
        <v>44547</v>
      </c>
      <c r="R38" s="113">
        <v>100</v>
      </c>
      <c r="S38" s="113">
        <v>100</v>
      </c>
      <c r="T38" s="113">
        <v>0</v>
      </c>
      <c r="U38" s="113" t="s">
        <v>243</v>
      </c>
      <c r="V38" s="113"/>
      <c r="W38" s="113" t="s">
        <v>262</v>
      </c>
      <c r="X38" s="143" t="s">
        <v>395</v>
      </c>
    </row>
    <row r="39" spans="1:24" x14ac:dyDescent="0.2">
      <c r="A39" s="7">
        <v>8609</v>
      </c>
      <c r="B39" s="113" t="s">
        <v>371</v>
      </c>
      <c r="C39" s="113" t="s">
        <v>423</v>
      </c>
      <c r="D39" s="113">
        <v>389</v>
      </c>
      <c r="E39" s="113">
        <v>392</v>
      </c>
      <c r="F39" s="113">
        <v>-3</v>
      </c>
      <c r="G39" s="187">
        <v>-7.7000000000000002E-3</v>
      </c>
      <c r="H39" s="113">
        <v>6262</v>
      </c>
      <c r="I39" s="113" t="s">
        <v>379</v>
      </c>
      <c r="J39" s="113" t="s">
        <v>239</v>
      </c>
      <c r="K39" s="113" t="s">
        <v>408</v>
      </c>
      <c r="L39" s="113" t="s">
        <v>415</v>
      </c>
      <c r="M39" s="113"/>
      <c r="N39" s="113" t="s">
        <v>414</v>
      </c>
      <c r="O39" s="113" t="s">
        <v>421</v>
      </c>
      <c r="P39" s="113" t="s">
        <v>244</v>
      </c>
      <c r="Q39" s="189">
        <v>44547</v>
      </c>
      <c r="R39" s="113">
        <v>1000</v>
      </c>
      <c r="S39" s="113">
        <v>1000</v>
      </c>
      <c r="T39" s="113">
        <v>0</v>
      </c>
      <c r="U39" s="113" t="s">
        <v>242</v>
      </c>
      <c r="V39" s="113">
        <v>390</v>
      </c>
      <c r="W39" s="113" t="s">
        <v>288</v>
      </c>
      <c r="X39" s="143" t="s">
        <v>399</v>
      </c>
    </row>
    <row r="40" spans="1:24" x14ac:dyDescent="0.2">
      <c r="A40" s="7">
        <v>8609</v>
      </c>
      <c r="B40" s="113" t="s">
        <v>268</v>
      </c>
      <c r="C40" s="113" t="s">
        <v>383</v>
      </c>
      <c r="D40" s="113">
        <v>389</v>
      </c>
      <c r="E40" s="113">
        <v>392</v>
      </c>
      <c r="F40" s="113">
        <v>-3</v>
      </c>
      <c r="G40" s="187">
        <v>-7.7000000000000002E-3</v>
      </c>
      <c r="H40" s="113">
        <v>6261</v>
      </c>
      <c r="I40" s="113" t="s">
        <v>379</v>
      </c>
      <c r="J40" s="113" t="s">
        <v>379</v>
      </c>
      <c r="K40" s="113" t="s">
        <v>408</v>
      </c>
      <c r="L40" s="113" t="s">
        <v>308</v>
      </c>
      <c r="M40" s="113"/>
      <c r="N40" s="113" t="s">
        <v>271</v>
      </c>
      <c r="O40" s="113" t="s">
        <v>240</v>
      </c>
      <c r="P40" s="113" t="s">
        <v>244</v>
      </c>
      <c r="Q40" s="189">
        <v>44547</v>
      </c>
      <c r="R40" s="113">
        <v>1000</v>
      </c>
      <c r="S40" s="113">
        <v>1000</v>
      </c>
      <c r="T40" s="113">
        <v>0</v>
      </c>
      <c r="U40" s="113" t="s">
        <v>242</v>
      </c>
      <c r="V40" s="113">
        <v>390</v>
      </c>
      <c r="W40" s="113" t="s">
        <v>238</v>
      </c>
      <c r="X40" s="143" t="s">
        <v>395</v>
      </c>
    </row>
    <row r="41" spans="1:24" x14ac:dyDescent="0.2">
      <c r="A41" s="7">
        <v>8609</v>
      </c>
      <c r="B41" s="113" t="s">
        <v>371</v>
      </c>
      <c r="C41" s="113" t="s">
        <v>422</v>
      </c>
      <c r="D41" s="113">
        <v>389</v>
      </c>
      <c r="E41" s="113">
        <v>392</v>
      </c>
      <c r="F41" s="113">
        <v>-3</v>
      </c>
      <c r="G41" s="187">
        <v>-7.7000000000000002E-3</v>
      </c>
      <c r="H41" s="113">
        <v>6260</v>
      </c>
      <c r="I41" s="113" t="s">
        <v>379</v>
      </c>
      <c r="J41" s="113" t="s">
        <v>239</v>
      </c>
      <c r="K41" s="113" t="s">
        <v>408</v>
      </c>
      <c r="L41" s="113" t="s">
        <v>308</v>
      </c>
      <c r="M41" s="113"/>
      <c r="N41" s="113" t="s">
        <v>373</v>
      </c>
      <c r="O41" s="113" t="s">
        <v>378</v>
      </c>
      <c r="P41" s="113" t="s">
        <v>244</v>
      </c>
      <c r="Q41" s="189">
        <v>44547</v>
      </c>
      <c r="R41" s="113">
        <v>1000</v>
      </c>
      <c r="S41" s="113">
        <v>1000</v>
      </c>
      <c r="T41" s="113">
        <v>0</v>
      </c>
      <c r="U41" s="113" t="s">
        <v>242</v>
      </c>
      <c r="V41" s="113">
        <v>390</v>
      </c>
      <c r="W41" s="113" t="s">
        <v>262</v>
      </c>
      <c r="X41" s="143" t="s">
        <v>395</v>
      </c>
    </row>
    <row r="42" spans="1:24" x14ac:dyDescent="0.2">
      <c r="A42" s="10">
        <v>8609</v>
      </c>
      <c r="B42" s="114" t="s">
        <v>245</v>
      </c>
      <c r="C42" s="114" t="s">
        <v>383</v>
      </c>
      <c r="D42" s="114">
        <v>389</v>
      </c>
      <c r="E42" s="114">
        <v>392</v>
      </c>
      <c r="F42" s="114">
        <v>-3</v>
      </c>
      <c r="G42" s="190">
        <v>-7.7000000000000002E-3</v>
      </c>
      <c r="H42" s="114">
        <v>6259</v>
      </c>
      <c r="I42" s="114" t="s">
        <v>379</v>
      </c>
      <c r="J42" s="114" t="s">
        <v>379</v>
      </c>
      <c r="K42" s="114" t="s">
        <v>410</v>
      </c>
      <c r="L42" s="114"/>
      <c r="M42" s="114"/>
      <c r="N42" s="114" t="s">
        <v>271</v>
      </c>
      <c r="O42" s="114" t="s">
        <v>241</v>
      </c>
      <c r="P42" s="114" t="s">
        <v>244</v>
      </c>
      <c r="Q42" s="219">
        <v>44547</v>
      </c>
      <c r="R42" s="114">
        <v>200</v>
      </c>
      <c r="S42" s="114">
        <v>200</v>
      </c>
      <c r="T42" s="114">
        <v>0</v>
      </c>
      <c r="U42" s="114" t="s">
        <v>265</v>
      </c>
      <c r="V42" s="114"/>
      <c r="W42" s="114" t="s">
        <v>288</v>
      </c>
      <c r="X42" s="144" t="s">
        <v>395</v>
      </c>
    </row>
    <row r="43" spans="1:24" x14ac:dyDescent="0.2">
      <c r="A43" t="s">
        <v>163</v>
      </c>
      <c r="B43" t="s">
        <v>237</v>
      </c>
      <c r="C43" t="s">
        <v>269</v>
      </c>
      <c r="D43" t="s">
        <v>163</v>
      </c>
      <c r="E43" t="s">
        <v>163</v>
      </c>
      <c r="F43" t="s">
        <v>163</v>
      </c>
      <c r="G43" t="s">
        <v>163</v>
      </c>
      <c r="H43" t="s">
        <v>163</v>
      </c>
      <c r="I43" t="s">
        <v>237</v>
      </c>
      <c r="J43" t="s">
        <v>372</v>
      </c>
      <c r="K43" t="s">
        <v>411</v>
      </c>
      <c r="L43" t="s">
        <v>306</v>
      </c>
      <c r="M43" t="s">
        <v>163</v>
      </c>
      <c r="N43" t="s">
        <v>237</v>
      </c>
      <c r="O43" t="s">
        <v>237</v>
      </c>
      <c r="P43" t="s">
        <v>237</v>
      </c>
      <c r="Q43" t="s">
        <v>163</v>
      </c>
      <c r="R43" t="s">
        <v>163</v>
      </c>
      <c r="S43" t="s">
        <v>163</v>
      </c>
      <c r="T43" t="s">
        <v>163</v>
      </c>
      <c r="U43" t="s">
        <v>237</v>
      </c>
      <c r="V43" t="s">
        <v>163</v>
      </c>
      <c r="W43" t="s">
        <v>237</v>
      </c>
      <c r="X43" t="s">
        <v>372</v>
      </c>
    </row>
    <row r="44" spans="1:24" x14ac:dyDescent="0.2">
      <c r="A44" s="86" t="s">
        <v>189</v>
      </c>
      <c r="P44" s="57"/>
      <c r="Q44" s="57"/>
      <c r="R44" s="57"/>
      <c r="S44" s="57"/>
      <c r="T44" s="57"/>
      <c r="U44" s="57"/>
    </row>
    <row r="45" spans="1:24" x14ac:dyDescent="0.2">
      <c r="C45" t="e">
        <f>[1]!POSITION("","0",C47,C48)</f>
        <v>#N/A</v>
      </c>
      <c r="D45" t="e">
        <f>[1]!POSITION("","0",D47,D48)</f>
        <v>#N/A</v>
      </c>
      <c r="E45" t="e">
        <f>[1]!POSITION("","0",E47,E48)</f>
        <v>#N/A</v>
      </c>
      <c r="F45" t="e">
        <f>[1]!POSITION("","0",F47,F48)</f>
        <v>#N/A</v>
      </c>
      <c r="G45" t="e">
        <f>[1]!POSITION("","0",G47,G48)</f>
        <v>#N/A</v>
      </c>
      <c r="H45" t="e">
        <f>[1]!POSITION("","0",H47,H48)</f>
        <v>#N/A</v>
      </c>
      <c r="I45" t="e">
        <f>[1]!POSITION("","0",I47,I48)</f>
        <v>#N/A</v>
      </c>
      <c r="J45" t="e">
        <f>[1]!POSITION("","0",J47,J48)</f>
        <v>#N/A</v>
      </c>
      <c r="K45" t="e">
        <f>[1]!POSITION("","0",K47,K48)</f>
        <v>#N/A</v>
      </c>
      <c r="L45" t="e">
        <f>[1]!POSITION("","0",L47,L48)</f>
        <v>#N/A</v>
      </c>
      <c r="M45" t="e">
        <f>[1]!POSITION("","0",M47,M48)</f>
        <v>#N/A</v>
      </c>
      <c r="N45" t="e">
        <f>[1]!POSITION("","0",N47,N48)</f>
        <v>#N/A</v>
      </c>
      <c r="O45" t="e">
        <f>[1]!POSITION("","0",O47,O48)</f>
        <v>#N/A</v>
      </c>
      <c r="P45" t="e">
        <f>[1]!POSITION("","0",P47,P48)</f>
        <v>#N/A</v>
      </c>
      <c r="Q45" t="e">
        <f>[1]!POSITION("","0",Q47,Q48)</f>
        <v>#N/A</v>
      </c>
      <c r="R45" t="e">
        <f>[1]!POSITION("","0",R47,R48)</f>
        <v>#N/A</v>
      </c>
      <c r="S45" t="e">
        <f>[1]!POSITION("","0",S47,S48)</f>
        <v>#N/A</v>
      </c>
      <c r="T45" t="e">
        <f>[1]!POSITION("","0",T47,T48)</f>
        <v>#N/A</v>
      </c>
      <c r="U45" t="e">
        <f>[1]!POSITION("","0",U47,U48)</f>
        <v>#N/A</v>
      </c>
      <c r="V45" t="e">
        <f>[1]!POSITION("","0",V47,V48)</f>
        <v>#N/A</v>
      </c>
    </row>
    <row r="46" spans="1:24" x14ac:dyDescent="0.2">
      <c r="A46" s="117" t="s">
        <v>198</v>
      </c>
      <c r="B46" s="208">
        <v>0.1</v>
      </c>
      <c r="C46" s="343" t="s">
        <v>56</v>
      </c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3"/>
    </row>
    <row r="47" spans="1:24" x14ac:dyDescent="0.2">
      <c r="A47" s="147" t="s">
        <v>199</v>
      </c>
      <c r="B47" s="151" t="s">
        <v>200</v>
      </c>
      <c r="C47" s="45" t="s">
        <v>59</v>
      </c>
      <c r="D47" s="45" t="s">
        <v>88</v>
      </c>
      <c r="E47" s="45" t="s">
        <v>90</v>
      </c>
      <c r="F47" s="45" t="s">
        <v>91</v>
      </c>
      <c r="G47" s="45" t="s">
        <v>92</v>
      </c>
      <c r="H47" s="45" t="s">
        <v>93</v>
      </c>
      <c r="I47" s="45" t="s">
        <v>113</v>
      </c>
      <c r="J47" s="45" t="s">
        <v>117</v>
      </c>
      <c r="K47" s="45" t="s">
        <v>134</v>
      </c>
      <c r="L47" s="45" t="s">
        <v>118</v>
      </c>
      <c r="M47" s="45" t="s">
        <v>119</v>
      </c>
      <c r="N47" s="45" t="s">
        <v>120</v>
      </c>
      <c r="O47" s="45" t="s">
        <v>121</v>
      </c>
      <c r="P47" s="45" t="s">
        <v>114</v>
      </c>
      <c r="Q47" s="45" t="s">
        <v>115</v>
      </c>
      <c r="R47" s="45" t="s">
        <v>146</v>
      </c>
      <c r="S47" s="45" t="s">
        <v>116</v>
      </c>
      <c r="T47" s="45" t="s">
        <v>111</v>
      </c>
      <c r="U47" s="45" t="s">
        <v>112</v>
      </c>
      <c r="V47" s="45" t="s">
        <v>78</v>
      </c>
      <c r="W47" s="45"/>
      <c r="X47" s="47"/>
    </row>
    <row r="48" spans="1:24" x14ac:dyDescent="0.2">
      <c r="A48" s="14" t="str">
        <f t="shared" ref="A48:A59" si="0">IF(ISNUMBER($J48),$J48*(1+$B$46),"")</f>
        <v/>
      </c>
      <c r="B48" s="152" t="str">
        <f t="shared" ref="B48:B59" si="1">IF(ISNUMBER($J48),$J48*(1-$B$46),"")</f>
        <v/>
      </c>
      <c r="C48" s="141" t="s">
        <v>163</v>
      </c>
      <c r="D48" s="141" t="s">
        <v>237</v>
      </c>
      <c r="E48" s="145" t="s">
        <v>163</v>
      </c>
      <c r="F48" s="145" t="s">
        <v>163</v>
      </c>
      <c r="G48" s="141" t="s">
        <v>163</v>
      </c>
      <c r="H48" s="146" t="s">
        <v>163</v>
      </c>
      <c r="I48" s="191" t="s">
        <v>163</v>
      </c>
      <c r="J48" s="145" t="s">
        <v>163</v>
      </c>
      <c r="K48" s="145" t="s">
        <v>163</v>
      </c>
      <c r="L48" s="145" t="s">
        <v>163</v>
      </c>
      <c r="M48" s="138" t="s">
        <v>163</v>
      </c>
      <c r="N48" s="145" t="s">
        <v>163</v>
      </c>
      <c r="O48" s="146" t="s">
        <v>163</v>
      </c>
      <c r="P48" s="141" t="s">
        <v>163</v>
      </c>
      <c r="Q48" s="145" t="s">
        <v>163</v>
      </c>
      <c r="R48" s="141" t="s">
        <v>163</v>
      </c>
      <c r="S48" s="145" t="s">
        <v>163</v>
      </c>
      <c r="T48" s="141" t="s">
        <v>237</v>
      </c>
      <c r="U48" s="141" t="s">
        <v>237</v>
      </c>
      <c r="V48" s="141" t="s">
        <v>237</v>
      </c>
      <c r="W48" s="141"/>
      <c r="X48" s="142"/>
    </row>
    <row r="49" spans="1:24" x14ac:dyDescent="0.2">
      <c r="A49" s="16">
        <f t="shared" si="0"/>
        <v>4620</v>
      </c>
      <c r="B49" s="153">
        <f t="shared" si="1"/>
        <v>3780</v>
      </c>
      <c r="C49" s="113">
        <v>1540</v>
      </c>
      <c r="D49" s="113" t="s">
        <v>291</v>
      </c>
      <c r="E49" s="186">
        <v>6288</v>
      </c>
      <c r="F49" s="186">
        <v>6236</v>
      </c>
      <c r="G49" s="113">
        <v>52</v>
      </c>
      <c r="H49" s="187">
        <v>8.3000000000000001E-3</v>
      </c>
      <c r="I49" s="113">
        <v>1</v>
      </c>
      <c r="J49" s="186">
        <v>4200</v>
      </c>
      <c r="K49" s="186">
        <v>4306</v>
      </c>
      <c r="L49" s="186">
        <v>4306</v>
      </c>
      <c r="M49" s="186">
        <v>6288</v>
      </c>
      <c r="N49" s="186">
        <v>1982</v>
      </c>
      <c r="O49" s="187">
        <v>0.4602</v>
      </c>
      <c r="P49" s="113">
        <v>0</v>
      </c>
      <c r="Q49" s="113">
        <v>1</v>
      </c>
      <c r="R49" s="113"/>
      <c r="S49" s="113">
        <v>1</v>
      </c>
      <c r="T49" s="113" t="s">
        <v>307</v>
      </c>
      <c r="U49" s="113" t="s">
        <v>334</v>
      </c>
      <c r="V49" s="113" t="s">
        <v>308</v>
      </c>
      <c r="W49" s="113"/>
      <c r="X49" s="143"/>
    </row>
    <row r="50" spans="1:24" x14ac:dyDescent="0.2">
      <c r="A50" s="16">
        <f t="shared" si="0"/>
        <v>5775.0000000000009</v>
      </c>
      <c r="B50" s="153">
        <f t="shared" si="1"/>
        <v>4725</v>
      </c>
      <c r="C50" s="113">
        <v>1570</v>
      </c>
      <c r="D50" s="113" t="s">
        <v>316</v>
      </c>
      <c r="E50" s="186">
        <v>15340</v>
      </c>
      <c r="F50" s="186">
        <v>15950</v>
      </c>
      <c r="G50" s="113">
        <v>-610</v>
      </c>
      <c r="H50" s="187">
        <v>-3.8199999999999998E-2</v>
      </c>
      <c r="I50" s="186">
        <v>42</v>
      </c>
      <c r="J50" s="186">
        <v>5250</v>
      </c>
      <c r="K50" s="186">
        <v>5397</v>
      </c>
      <c r="L50" s="186">
        <v>226674</v>
      </c>
      <c r="M50" s="186">
        <v>644280</v>
      </c>
      <c r="N50" s="186">
        <v>417606</v>
      </c>
      <c r="O50" s="187">
        <v>1.8423</v>
      </c>
      <c r="P50" s="113">
        <v>0</v>
      </c>
      <c r="Q50" s="186">
        <v>42</v>
      </c>
      <c r="R50" s="113"/>
      <c r="S50" s="186">
        <v>42</v>
      </c>
      <c r="T50" s="113" t="s">
        <v>307</v>
      </c>
      <c r="U50" s="113" t="s">
        <v>335</v>
      </c>
      <c r="V50" s="113" t="s">
        <v>332</v>
      </c>
      <c r="W50" s="113"/>
      <c r="X50" s="143"/>
    </row>
    <row r="51" spans="1:24" x14ac:dyDescent="0.2">
      <c r="A51" s="16">
        <f t="shared" si="0"/>
        <v>41800</v>
      </c>
      <c r="B51" s="153">
        <f t="shared" si="1"/>
        <v>34200</v>
      </c>
      <c r="C51" s="113">
        <v>1675</v>
      </c>
      <c r="D51" s="113" t="s">
        <v>292</v>
      </c>
      <c r="E51" s="186">
        <v>18020</v>
      </c>
      <c r="F51" s="186">
        <v>17730</v>
      </c>
      <c r="G51" s="186">
        <v>290</v>
      </c>
      <c r="H51" s="187">
        <v>1.6400000000000001E-2</v>
      </c>
      <c r="I51" s="113">
        <v>10</v>
      </c>
      <c r="J51" s="186">
        <v>38000</v>
      </c>
      <c r="K51" s="186">
        <v>38039</v>
      </c>
      <c r="L51" s="186">
        <v>380390</v>
      </c>
      <c r="M51" s="186">
        <v>180200</v>
      </c>
      <c r="N51" s="186">
        <v>-200190</v>
      </c>
      <c r="O51" s="187">
        <v>-0.5262</v>
      </c>
      <c r="P51" s="113">
        <v>0</v>
      </c>
      <c r="Q51" s="113">
        <v>10</v>
      </c>
      <c r="R51" s="113"/>
      <c r="S51" s="113">
        <v>10</v>
      </c>
      <c r="T51" s="113" t="s">
        <v>307</v>
      </c>
      <c r="U51" s="113" t="s">
        <v>336</v>
      </c>
      <c r="V51" s="113" t="s">
        <v>308</v>
      </c>
      <c r="W51" s="113"/>
      <c r="X51" s="143"/>
    </row>
    <row r="52" spans="1:24" x14ac:dyDescent="0.2">
      <c r="A52" s="16">
        <f t="shared" si="0"/>
        <v>858.00000000000011</v>
      </c>
      <c r="B52" s="153">
        <f t="shared" si="1"/>
        <v>702</v>
      </c>
      <c r="C52" s="113">
        <v>2038</v>
      </c>
      <c r="D52" s="113" t="s">
        <v>317</v>
      </c>
      <c r="E52" s="186">
        <v>690</v>
      </c>
      <c r="F52" s="186">
        <v>701</v>
      </c>
      <c r="G52" s="113">
        <v>-11</v>
      </c>
      <c r="H52" s="187">
        <v>-1.5699999999999999E-2</v>
      </c>
      <c r="I52" s="186">
        <v>10000</v>
      </c>
      <c r="J52" s="113">
        <v>780</v>
      </c>
      <c r="K52" s="113">
        <v>781</v>
      </c>
      <c r="L52" s="186">
        <v>7810000</v>
      </c>
      <c r="M52" s="186">
        <v>6900000</v>
      </c>
      <c r="N52" s="186">
        <v>-910000</v>
      </c>
      <c r="O52" s="187">
        <v>-0.11650000000000001</v>
      </c>
      <c r="P52" s="113">
        <v>0</v>
      </c>
      <c r="Q52" s="186">
        <v>10000</v>
      </c>
      <c r="R52" s="113"/>
      <c r="S52" s="186">
        <v>10000</v>
      </c>
      <c r="T52" s="113" t="s">
        <v>307</v>
      </c>
      <c r="U52" s="113" t="s">
        <v>337</v>
      </c>
      <c r="V52" s="113" t="s">
        <v>308</v>
      </c>
      <c r="W52" s="113"/>
      <c r="X52" s="143"/>
    </row>
    <row r="53" spans="1:24" x14ac:dyDescent="0.2">
      <c r="A53" s="16">
        <f t="shared" si="0"/>
        <v>132</v>
      </c>
      <c r="B53" s="153">
        <f t="shared" si="1"/>
        <v>108</v>
      </c>
      <c r="C53" s="113">
        <v>2673</v>
      </c>
      <c r="D53" s="113" t="s">
        <v>293</v>
      </c>
      <c r="E53" s="113">
        <v>120</v>
      </c>
      <c r="F53" s="113">
        <v>121</v>
      </c>
      <c r="G53" s="113">
        <v>-1</v>
      </c>
      <c r="H53" s="187">
        <v>-8.3000000000000001E-3</v>
      </c>
      <c r="I53" s="186">
        <v>1000</v>
      </c>
      <c r="J53" s="113">
        <v>120</v>
      </c>
      <c r="K53" s="113">
        <v>121</v>
      </c>
      <c r="L53" s="186">
        <v>121000</v>
      </c>
      <c r="M53" s="186">
        <v>120000</v>
      </c>
      <c r="N53" s="186">
        <v>-1000</v>
      </c>
      <c r="O53" s="187">
        <v>-8.2000000000000007E-3</v>
      </c>
      <c r="P53" s="113">
        <v>0</v>
      </c>
      <c r="Q53" s="186">
        <v>1000</v>
      </c>
      <c r="R53" s="113"/>
      <c r="S53" s="186">
        <v>1000</v>
      </c>
      <c r="T53" s="113" t="s">
        <v>307</v>
      </c>
      <c r="U53" s="113" t="s">
        <v>333</v>
      </c>
      <c r="V53" s="113" t="s">
        <v>308</v>
      </c>
      <c r="W53" s="113"/>
      <c r="X53" s="143"/>
    </row>
    <row r="54" spans="1:24" x14ac:dyDescent="0.2">
      <c r="A54" s="16">
        <f t="shared" si="0"/>
        <v>2077.9</v>
      </c>
      <c r="B54" s="153">
        <f t="shared" si="1"/>
        <v>1700.1000000000001</v>
      </c>
      <c r="C54" s="113">
        <v>3417</v>
      </c>
      <c r="D54" s="113" t="s">
        <v>294</v>
      </c>
      <c r="E54" s="186">
        <v>710</v>
      </c>
      <c r="F54" s="186">
        <v>720</v>
      </c>
      <c r="G54" s="113">
        <v>-10</v>
      </c>
      <c r="H54" s="187">
        <v>-1.3899999999999999E-2</v>
      </c>
      <c r="I54" s="113">
        <v>500</v>
      </c>
      <c r="J54" s="186">
        <v>1889</v>
      </c>
      <c r="K54" s="186">
        <v>1891</v>
      </c>
      <c r="L54" s="186">
        <v>945500</v>
      </c>
      <c r="M54" s="186">
        <v>355000</v>
      </c>
      <c r="N54" s="186">
        <v>-590500</v>
      </c>
      <c r="O54" s="187">
        <v>-0.62450000000000006</v>
      </c>
      <c r="P54" s="113">
        <v>0</v>
      </c>
      <c r="Q54" s="113">
        <v>500</v>
      </c>
      <c r="R54" s="113"/>
      <c r="S54" s="113">
        <v>500</v>
      </c>
      <c r="T54" s="113" t="s">
        <v>307</v>
      </c>
      <c r="U54" s="113" t="s">
        <v>333</v>
      </c>
      <c r="V54" s="113" t="s">
        <v>308</v>
      </c>
      <c r="W54" s="113"/>
      <c r="X54" s="143"/>
    </row>
    <row r="55" spans="1:24" x14ac:dyDescent="0.2">
      <c r="A55" s="16">
        <f t="shared" si="0"/>
        <v>2229.7000000000003</v>
      </c>
      <c r="B55" s="153">
        <f t="shared" si="1"/>
        <v>1824.3</v>
      </c>
      <c r="C55" s="113">
        <v>4671</v>
      </c>
      <c r="D55" s="113" t="s">
        <v>295</v>
      </c>
      <c r="E55" s="186">
        <v>2000</v>
      </c>
      <c r="F55" s="186">
        <v>1982</v>
      </c>
      <c r="G55" s="113">
        <v>18</v>
      </c>
      <c r="H55" s="187">
        <v>9.1000000000000004E-3</v>
      </c>
      <c r="I55" s="113">
        <v>500</v>
      </c>
      <c r="J55" s="186">
        <v>2027</v>
      </c>
      <c r="K55" s="186">
        <v>2027</v>
      </c>
      <c r="L55" s="186">
        <v>1013500</v>
      </c>
      <c r="M55" s="186">
        <v>1000000</v>
      </c>
      <c r="N55" s="186">
        <v>-13500</v>
      </c>
      <c r="O55" s="187">
        <v>-1.3299999999999999E-2</v>
      </c>
      <c r="P55" s="113">
        <v>0</v>
      </c>
      <c r="Q55" s="113">
        <v>500</v>
      </c>
      <c r="R55" s="113"/>
      <c r="S55" s="113">
        <v>500</v>
      </c>
      <c r="T55" s="113" t="s">
        <v>307</v>
      </c>
      <c r="U55" s="113" t="s">
        <v>333</v>
      </c>
      <c r="V55" s="113" t="s">
        <v>309</v>
      </c>
      <c r="W55" s="113"/>
      <c r="X55" s="143"/>
    </row>
    <row r="56" spans="1:24" x14ac:dyDescent="0.2">
      <c r="A56" s="16">
        <f t="shared" si="0"/>
        <v>1072.5</v>
      </c>
      <c r="B56" s="153">
        <f t="shared" si="1"/>
        <v>877.5</v>
      </c>
      <c r="C56" s="113">
        <v>4726</v>
      </c>
      <c r="D56" s="113" t="s">
        <v>318</v>
      </c>
      <c r="E56" s="186">
        <v>2504</v>
      </c>
      <c r="F56" s="186">
        <v>2581</v>
      </c>
      <c r="G56" s="113">
        <v>-77</v>
      </c>
      <c r="H56" s="187">
        <v>-2.98E-2</v>
      </c>
      <c r="I56" s="113">
        <v>200</v>
      </c>
      <c r="J56" s="113">
        <v>975</v>
      </c>
      <c r="K56" s="113">
        <v>977</v>
      </c>
      <c r="L56" s="186">
        <v>195400</v>
      </c>
      <c r="M56" s="186">
        <v>500800</v>
      </c>
      <c r="N56" s="186">
        <v>305400</v>
      </c>
      <c r="O56" s="187">
        <v>1.5629</v>
      </c>
      <c r="P56" s="113">
        <v>0</v>
      </c>
      <c r="Q56" s="113">
        <v>200</v>
      </c>
      <c r="R56" s="113"/>
      <c r="S56" s="113">
        <v>200</v>
      </c>
      <c r="T56" s="113" t="s">
        <v>307</v>
      </c>
      <c r="U56" s="113" t="s">
        <v>337</v>
      </c>
      <c r="V56" s="113" t="s">
        <v>308</v>
      </c>
      <c r="W56" s="113"/>
      <c r="X56" s="143"/>
    </row>
    <row r="57" spans="1:24" x14ac:dyDescent="0.2">
      <c r="A57" s="16">
        <f t="shared" ref="A57" si="2">IF(ISNUMBER($J57),$J57*(1+$B$46),"")</f>
        <v>2145</v>
      </c>
      <c r="B57" s="153">
        <f t="shared" ref="B57" si="3">IF(ISNUMBER($J57),$J57*(1-$B$46),"")</f>
        <v>1755</v>
      </c>
      <c r="C57" s="113">
        <v>4980</v>
      </c>
      <c r="D57" s="113" t="s">
        <v>296</v>
      </c>
      <c r="E57" s="186">
        <v>3965</v>
      </c>
      <c r="F57" s="186">
        <v>3975</v>
      </c>
      <c r="G57" s="113">
        <v>-10</v>
      </c>
      <c r="H57" s="187">
        <v>-2.5000000000000001E-3</v>
      </c>
      <c r="I57" s="113">
        <v>100</v>
      </c>
      <c r="J57" s="186">
        <v>1950</v>
      </c>
      <c r="K57" s="186">
        <v>1953</v>
      </c>
      <c r="L57" s="186">
        <v>195300</v>
      </c>
      <c r="M57" s="186">
        <v>396500</v>
      </c>
      <c r="N57" s="186">
        <v>201200</v>
      </c>
      <c r="O57" s="187">
        <v>1.0302</v>
      </c>
      <c r="P57" s="113">
        <v>0</v>
      </c>
      <c r="Q57" s="113">
        <v>100</v>
      </c>
      <c r="R57" s="113"/>
      <c r="S57" s="113">
        <v>100</v>
      </c>
      <c r="T57" s="113" t="s">
        <v>307</v>
      </c>
      <c r="U57" s="113" t="s">
        <v>333</v>
      </c>
      <c r="V57" s="113" t="s">
        <v>332</v>
      </c>
      <c r="W57" s="113"/>
      <c r="X57" s="143"/>
    </row>
    <row r="58" spans="1:24" x14ac:dyDescent="0.2">
      <c r="A58" s="16">
        <f t="shared" si="0"/>
        <v>3300.0000000000005</v>
      </c>
      <c r="B58" s="153">
        <f t="shared" si="1"/>
        <v>2700</v>
      </c>
      <c r="C58" s="113">
        <v>6042</v>
      </c>
      <c r="D58" s="113" t="s">
        <v>319</v>
      </c>
      <c r="E58" s="186">
        <v>1945</v>
      </c>
      <c r="F58" s="186">
        <v>1964</v>
      </c>
      <c r="G58" s="113">
        <v>-19</v>
      </c>
      <c r="H58" s="187">
        <v>-9.7000000000000003E-3</v>
      </c>
      <c r="I58" s="113">
        <v>200</v>
      </c>
      <c r="J58" s="186">
        <v>3000</v>
      </c>
      <c r="K58" s="186">
        <v>3000</v>
      </c>
      <c r="L58" s="186">
        <v>600000</v>
      </c>
      <c r="M58" s="186">
        <v>389000</v>
      </c>
      <c r="N58" s="186">
        <v>-211000</v>
      </c>
      <c r="O58" s="187">
        <v>-0.35160000000000002</v>
      </c>
      <c r="P58" s="113">
        <v>0</v>
      </c>
      <c r="Q58" s="113">
        <v>200</v>
      </c>
      <c r="R58" s="113"/>
      <c r="S58" s="113">
        <v>200</v>
      </c>
      <c r="T58" s="113" t="s">
        <v>307</v>
      </c>
      <c r="U58" s="113" t="s">
        <v>336</v>
      </c>
      <c r="V58" s="113" t="s">
        <v>309</v>
      </c>
      <c r="W58" s="113"/>
      <c r="X58" s="143"/>
    </row>
    <row r="59" spans="1:24" x14ac:dyDescent="0.2">
      <c r="A59" s="19">
        <f t="shared" si="0"/>
        <v>301.40000000000003</v>
      </c>
      <c r="B59" s="154">
        <f t="shared" si="1"/>
        <v>246.6</v>
      </c>
      <c r="C59" s="114">
        <v>6072</v>
      </c>
      <c r="D59" s="114" t="s">
        <v>320</v>
      </c>
      <c r="E59" s="114">
        <v>151</v>
      </c>
      <c r="F59" s="114">
        <v>152</v>
      </c>
      <c r="G59" s="114">
        <v>-1</v>
      </c>
      <c r="H59" s="190">
        <v>-6.6E-3</v>
      </c>
      <c r="I59" s="114">
        <v>500</v>
      </c>
      <c r="J59" s="114">
        <v>274</v>
      </c>
      <c r="K59" s="114">
        <v>275</v>
      </c>
      <c r="L59" s="192">
        <v>137500</v>
      </c>
      <c r="M59" s="192">
        <v>75500</v>
      </c>
      <c r="N59" s="192">
        <v>-62000</v>
      </c>
      <c r="O59" s="190">
        <v>-0.45090000000000002</v>
      </c>
      <c r="P59" s="114">
        <v>0</v>
      </c>
      <c r="Q59" s="114">
        <v>500</v>
      </c>
      <c r="R59" s="114"/>
      <c r="S59" s="114">
        <v>500</v>
      </c>
      <c r="T59" s="114" t="s">
        <v>307</v>
      </c>
      <c r="U59" s="114" t="s">
        <v>333</v>
      </c>
      <c r="V59" s="114" t="s">
        <v>308</v>
      </c>
      <c r="W59" s="114"/>
      <c r="X59" s="144"/>
    </row>
    <row r="60" spans="1:24" x14ac:dyDescent="0.2">
      <c r="C60">
        <v>6177</v>
      </c>
      <c r="D60" t="s">
        <v>297</v>
      </c>
      <c r="E60" s="76">
        <v>139</v>
      </c>
      <c r="F60" s="76">
        <v>142</v>
      </c>
      <c r="G60">
        <v>-3</v>
      </c>
      <c r="H60" s="50">
        <v>-2.1100000000000001E-2</v>
      </c>
      <c r="I60" s="76">
        <v>200</v>
      </c>
      <c r="J60" s="76">
        <v>355</v>
      </c>
      <c r="K60" s="76">
        <v>355</v>
      </c>
      <c r="L60" s="76">
        <v>71000</v>
      </c>
      <c r="M60" s="76">
        <v>27800</v>
      </c>
      <c r="N60" s="76">
        <v>-43200</v>
      </c>
      <c r="O60" s="50">
        <v>-0.60840000000000005</v>
      </c>
      <c r="P60">
        <v>0</v>
      </c>
      <c r="Q60" s="76">
        <v>200</v>
      </c>
      <c r="S60" s="76">
        <v>200</v>
      </c>
      <c r="T60" t="s">
        <v>307</v>
      </c>
      <c r="U60" t="s">
        <v>338</v>
      </c>
      <c r="V60" t="s">
        <v>309</v>
      </c>
    </row>
    <row r="61" spans="1:24" x14ac:dyDescent="0.2">
      <c r="C61">
        <v>6177</v>
      </c>
      <c r="D61" t="s">
        <v>321</v>
      </c>
      <c r="E61" s="76">
        <v>139</v>
      </c>
      <c r="F61" s="76">
        <v>142</v>
      </c>
      <c r="G61">
        <v>-3</v>
      </c>
      <c r="H61" s="50">
        <v>-2.1100000000000001E-2</v>
      </c>
      <c r="I61">
        <v>800</v>
      </c>
      <c r="J61" s="76">
        <v>355</v>
      </c>
      <c r="K61" s="76">
        <v>356</v>
      </c>
      <c r="L61" s="76">
        <v>284800</v>
      </c>
      <c r="M61" s="76">
        <v>111200</v>
      </c>
      <c r="N61" s="76">
        <v>-173600</v>
      </c>
      <c r="O61" s="50">
        <v>-0.60950000000000004</v>
      </c>
      <c r="P61">
        <v>0</v>
      </c>
      <c r="Q61">
        <v>800</v>
      </c>
      <c r="S61">
        <v>800</v>
      </c>
      <c r="T61" t="s">
        <v>307</v>
      </c>
      <c r="U61" t="s">
        <v>336</v>
      </c>
      <c r="V61" t="s">
        <v>308</v>
      </c>
    </row>
    <row r="62" spans="1:24" x14ac:dyDescent="0.2">
      <c r="C62">
        <v>6501</v>
      </c>
      <c r="D62" t="s">
        <v>322</v>
      </c>
      <c r="E62" s="193">
        <v>6337</v>
      </c>
      <c r="F62" s="193">
        <v>6447</v>
      </c>
      <c r="G62">
        <v>-110</v>
      </c>
      <c r="H62" s="50">
        <v>-1.7100000000000001E-2</v>
      </c>
      <c r="I62" s="76">
        <v>1200</v>
      </c>
      <c r="J62" s="76">
        <v>2450</v>
      </c>
      <c r="K62" s="76">
        <v>3636</v>
      </c>
      <c r="L62" s="76">
        <v>4363200</v>
      </c>
      <c r="M62" s="76">
        <v>7604400</v>
      </c>
      <c r="N62" s="76">
        <v>3241200</v>
      </c>
      <c r="O62" s="50">
        <v>0.74280000000000002</v>
      </c>
      <c r="P62">
        <v>0</v>
      </c>
      <c r="Q62" s="76">
        <v>1200</v>
      </c>
      <c r="S62" s="76">
        <v>1200</v>
      </c>
      <c r="T62" t="s">
        <v>307</v>
      </c>
      <c r="U62" t="s">
        <v>339</v>
      </c>
      <c r="V62" t="s">
        <v>308</v>
      </c>
    </row>
    <row r="63" spans="1:24" x14ac:dyDescent="0.2">
      <c r="C63">
        <v>6502</v>
      </c>
      <c r="D63" t="s">
        <v>298</v>
      </c>
      <c r="E63" s="76">
        <v>4640</v>
      </c>
      <c r="F63" s="76">
        <v>4741</v>
      </c>
      <c r="G63">
        <v>-101</v>
      </c>
      <c r="H63" s="50">
        <v>-2.1299999999999999E-2</v>
      </c>
      <c r="I63">
        <v>200</v>
      </c>
      <c r="J63" s="76">
        <v>3300</v>
      </c>
      <c r="K63" s="76">
        <v>3310</v>
      </c>
      <c r="L63" s="76">
        <v>662000</v>
      </c>
      <c r="M63" s="76">
        <v>928200</v>
      </c>
      <c r="N63" s="76">
        <v>266200</v>
      </c>
      <c r="O63" s="50">
        <v>0.40210000000000001</v>
      </c>
      <c r="P63">
        <v>0</v>
      </c>
      <c r="Q63">
        <v>200</v>
      </c>
      <c r="S63">
        <v>200</v>
      </c>
      <c r="T63" t="s">
        <v>307</v>
      </c>
      <c r="U63" t="s">
        <v>337</v>
      </c>
      <c r="V63" t="s">
        <v>308</v>
      </c>
    </row>
    <row r="64" spans="1:24" x14ac:dyDescent="0.2">
      <c r="C64">
        <v>6752</v>
      </c>
      <c r="D64" t="s">
        <v>299</v>
      </c>
      <c r="E64" s="76">
        <v>1223</v>
      </c>
      <c r="F64" s="76">
        <v>1227</v>
      </c>
      <c r="G64">
        <v>-4</v>
      </c>
      <c r="H64" s="50">
        <v>-3.3E-3</v>
      </c>
      <c r="I64">
        <v>500</v>
      </c>
      <c r="J64" s="76">
        <v>1115</v>
      </c>
      <c r="K64" s="76">
        <v>1115</v>
      </c>
      <c r="L64" s="76">
        <v>557500</v>
      </c>
      <c r="M64" s="76">
        <v>611500</v>
      </c>
      <c r="N64" s="76">
        <v>54000</v>
      </c>
      <c r="O64" s="50">
        <v>9.6799999999999997E-2</v>
      </c>
      <c r="P64">
        <v>0</v>
      </c>
      <c r="Q64">
        <v>500</v>
      </c>
      <c r="S64">
        <v>500</v>
      </c>
      <c r="T64" t="s">
        <v>307</v>
      </c>
      <c r="U64" t="s">
        <v>340</v>
      </c>
      <c r="V64" t="s">
        <v>309</v>
      </c>
    </row>
    <row r="65" spans="3:22" x14ac:dyDescent="0.2">
      <c r="C65">
        <v>6988</v>
      </c>
      <c r="D65" t="s">
        <v>300</v>
      </c>
      <c r="E65" s="76">
        <v>8760</v>
      </c>
      <c r="F65" s="76">
        <v>8890</v>
      </c>
      <c r="G65">
        <v>-130</v>
      </c>
      <c r="H65" s="50">
        <v>-1.46E-2</v>
      </c>
      <c r="I65">
        <v>200</v>
      </c>
      <c r="J65" s="76">
        <v>6220</v>
      </c>
      <c r="K65" s="76">
        <v>6226</v>
      </c>
      <c r="L65" s="76">
        <v>1245200</v>
      </c>
      <c r="M65" s="76">
        <v>1752000</v>
      </c>
      <c r="N65" s="76">
        <v>506800</v>
      </c>
      <c r="O65" s="50">
        <v>0.40699999999999997</v>
      </c>
      <c r="P65">
        <v>0</v>
      </c>
      <c r="Q65">
        <v>200</v>
      </c>
      <c r="S65">
        <v>200</v>
      </c>
      <c r="T65" t="s">
        <v>307</v>
      </c>
      <c r="U65" t="s">
        <v>341</v>
      </c>
      <c r="V65" t="s">
        <v>308</v>
      </c>
    </row>
    <row r="66" spans="3:22" x14ac:dyDescent="0.2">
      <c r="C66">
        <v>7203</v>
      </c>
      <c r="D66" t="s">
        <v>301</v>
      </c>
      <c r="E66" s="76">
        <v>2102.5</v>
      </c>
      <c r="F66" s="76">
        <v>2139.5</v>
      </c>
      <c r="G66">
        <v>-37</v>
      </c>
      <c r="H66" s="50">
        <v>-1.7299999999999999E-2</v>
      </c>
      <c r="I66" s="76">
        <v>3500</v>
      </c>
      <c r="J66" s="76">
        <v>1433</v>
      </c>
      <c r="K66" s="76">
        <v>1552</v>
      </c>
      <c r="L66" s="76">
        <v>5432000</v>
      </c>
      <c r="M66" s="76">
        <v>7360500</v>
      </c>
      <c r="N66" s="76">
        <v>1928500</v>
      </c>
      <c r="O66" s="50">
        <v>0.35499999999999998</v>
      </c>
      <c r="P66">
        <v>0</v>
      </c>
      <c r="Q66" s="76">
        <v>3500</v>
      </c>
      <c r="S66" s="76">
        <v>3500</v>
      </c>
      <c r="T66" t="s">
        <v>307</v>
      </c>
      <c r="U66" t="s">
        <v>333</v>
      </c>
      <c r="V66" t="s">
        <v>308</v>
      </c>
    </row>
    <row r="67" spans="3:22" x14ac:dyDescent="0.2">
      <c r="C67">
        <v>7912</v>
      </c>
      <c r="D67" t="s">
        <v>323</v>
      </c>
      <c r="E67" s="193">
        <v>2790</v>
      </c>
      <c r="F67" s="193">
        <v>2838</v>
      </c>
      <c r="G67">
        <v>-48</v>
      </c>
      <c r="H67" s="50">
        <v>-1.6899999999999998E-2</v>
      </c>
      <c r="I67">
        <v>600</v>
      </c>
      <c r="J67" s="76">
        <v>3070</v>
      </c>
      <c r="K67" s="76">
        <v>3073</v>
      </c>
      <c r="L67" s="76">
        <v>1843800</v>
      </c>
      <c r="M67" s="76">
        <v>1674000</v>
      </c>
      <c r="N67" s="76">
        <v>-169800</v>
      </c>
      <c r="O67" s="50">
        <v>-9.1999999999999998E-2</v>
      </c>
      <c r="P67">
        <v>0</v>
      </c>
      <c r="Q67">
        <v>600</v>
      </c>
      <c r="S67">
        <v>600</v>
      </c>
      <c r="T67" t="s">
        <v>307</v>
      </c>
      <c r="U67" t="s">
        <v>338</v>
      </c>
      <c r="V67" t="s">
        <v>308</v>
      </c>
    </row>
    <row r="68" spans="3:22" x14ac:dyDescent="0.2">
      <c r="C68">
        <v>7974</v>
      </c>
      <c r="D68" t="s">
        <v>302</v>
      </c>
      <c r="E68" s="76">
        <v>52920</v>
      </c>
      <c r="F68" s="76">
        <v>54400</v>
      </c>
      <c r="G68" s="76">
        <v>-1480</v>
      </c>
      <c r="H68" s="50">
        <v>-2.7199999999999998E-2</v>
      </c>
      <c r="I68" s="76">
        <v>100</v>
      </c>
      <c r="J68" s="76">
        <v>38900</v>
      </c>
      <c r="K68" s="76">
        <v>39183</v>
      </c>
      <c r="L68" s="76">
        <v>3918300</v>
      </c>
      <c r="M68" s="76">
        <v>5292000</v>
      </c>
      <c r="N68" s="76">
        <v>1373700</v>
      </c>
      <c r="O68" s="50">
        <v>0.35049999999999998</v>
      </c>
      <c r="P68">
        <v>0</v>
      </c>
      <c r="Q68" s="76">
        <v>100</v>
      </c>
      <c r="S68" s="76">
        <v>100</v>
      </c>
      <c r="T68" t="s">
        <v>307</v>
      </c>
      <c r="U68" t="s">
        <v>337</v>
      </c>
      <c r="V68" t="s">
        <v>308</v>
      </c>
    </row>
    <row r="69" spans="3:22" x14ac:dyDescent="0.2">
      <c r="C69">
        <v>8267</v>
      </c>
      <c r="D69" t="s">
        <v>324</v>
      </c>
      <c r="E69" s="193">
        <v>2808</v>
      </c>
      <c r="F69" s="193">
        <v>2842</v>
      </c>
      <c r="G69">
        <v>-34</v>
      </c>
      <c r="H69" s="50">
        <v>-1.2E-2</v>
      </c>
      <c r="I69" s="76">
        <v>100</v>
      </c>
      <c r="J69" s="76">
        <v>1420</v>
      </c>
      <c r="K69" s="76">
        <v>1423</v>
      </c>
      <c r="L69" s="76">
        <v>142300</v>
      </c>
      <c r="M69" s="76">
        <v>280800</v>
      </c>
      <c r="N69" s="76">
        <v>138500</v>
      </c>
      <c r="O69" s="50">
        <v>0.97319999999999995</v>
      </c>
      <c r="P69">
        <v>0</v>
      </c>
      <c r="Q69" s="76">
        <v>100</v>
      </c>
      <c r="S69" s="76">
        <v>100</v>
      </c>
      <c r="T69" t="s">
        <v>307</v>
      </c>
      <c r="U69" t="s">
        <v>335</v>
      </c>
      <c r="V69" t="s">
        <v>308</v>
      </c>
    </row>
    <row r="70" spans="3:22" x14ac:dyDescent="0.2">
      <c r="C70">
        <v>8303</v>
      </c>
      <c r="D70" t="s">
        <v>325</v>
      </c>
      <c r="E70" s="76">
        <v>2001</v>
      </c>
      <c r="F70" s="76">
        <v>2000</v>
      </c>
      <c r="G70">
        <v>1</v>
      </c>
      <c r="H70" s="50">
        <v>5.0000000000000001E-4</v>
      </c>
      <c r="I70">
        <v>100</v>
      </c>
      <c r="J70" s="76">
        <v>1964</v>
      </c>
      <c r="K70" s="76">
        <v>1967</v>
      </c>
      <c r="L70" s="76">
        <v>196700</v>
      </c>
      <c r="M70" s="76">
        <v>200100</v>
      </c>
      <c r="N70" s="76">
        <v>3400</v>
      </c>
      <c r="O70" s="50">
        <v>1.72E-2</v>
      </c>
      <c r="P70">
        <v>0</v>
      </c>
      <c r="Q70">
        <v>100</v>
      </c>
      <c r="S70">
        <v>100</v>
      </c>
      <c r="T70" t="s">
        <v>307</v>
      </c>
      <c r="U70" t="s">
        <v>335</v>
      </c>
      <c r="V70" t="s">
        <v>332</v>
      </c>
    </row>
    <row r="71" spans="3:22" x14ac:dyDescent="0.2">
      <c r="C71">
        <v>8411</v>
      </c>
      <c r="D71" t="s">
        <v>303</v>
      </c>
      <c r="E71" s="76">
        <v>1475.5</v>
      </c>
      <c r="F71" s="76">
        <v>1478</v>
      </c>
      <c r="G71">
        <v>-2.5</v>
      </c>
      <c r="H71" s="50">
        <v>-1.6999999999999999E-3</v>
      </c>
      <c r="I71" s="76">
        <v>210</v>
      </c>
      <c r="J71" s="76">
        <v>1481.4</v>
      </c>
      <c r="K71" s="76">
        <v>1710</v>
      </c>
      <c r="L71" s="76">
        <v>359100</v>
      </c>
      <c r="M71" s="76">
        <v>309855</v>
      </c>
      <c r="N71" s="76">
        <v>-49245</v>
      </c>
      <c r="O71" s="50">
        <v>-0.1371</v>
      </c>
      <c r="P71">
        <v>0</v>
      </c>
      <c r="Q71" s="76">
        <v>200</v>
      </c>
      <c r="S71" s="76">
        <v>210</v>
      </c>
      <c r="T71" t="s">
        <v>307</v>
      </c>
      <c r="U71" t="s">
        <v>334</v>
      </c>
      <c r="V71" t="s">
        <v>308</v>
      </c>
    </row>
    <row r="72" spans="3:22" x14ac:dyDescent="0.2">
      <c r="C72">
        <v>8411</v>
      </c>
      <c r="D72" t="s">
        <v>326</v>
      </c>
      <c r="E72" s="76">
        <v>1475.5</v>
      </c>
      <c r="F72" s="76">
        <v>1478</v>
      </c>
      <c r="G72">
        <v>-2.5</v>
      </c>
      <c r="H72" s="50">
        <v>-1.6999999999999999E-3</v>
      </c>
      <c r="I72">
        <v>160</v>
      </c>
      <c r="J72" s="76">
        <v>1481.4</v>
      </c>
      <c r="K72" s="76">
        <v>1482</v>
      </c>
      <c r="L72" s="76">
        <v>237120</v>
      </c>
      <c r="M72" s="76">
        <v>236080</v>
      </c>
      <c r="N72" s="76">
        <v>-1040</v>
      </c>
      <c r="O72" s="50">
        <v>-4.3E-3</v>
      </c>
      <c r="P72">
        <v>0</v>
      </c>
      <c r="Q72">
        <v>100</v>
      </c>
      <c r="S72">
        <v>160</v>
      </c>
      <c r="T72" t="s">
        <v>307</v>
      </c>
      <c r="U72" t="s">
        <v>335</v>
      </c>
      <c r="V72" t="s">
        <v>309</v>
      </c>
    </row>
    <row r="73" spans="3:22" x14ac:dyDescent="0.2">
      <c r="C73">
        <v>8600</v>
      </c>
      <c r="D73" t="s">
        <v>327</v>
      </c>
      <c r="E73" s="76">
        <v>306</v>
      </c>
      <c r="F73" s="76">
        <v>307</v>
      </c>
      <c r="G73">
        <v>-1</v>
      </c>
      <c r="H73" s="50">
        <v>-3.3E-3</v>
      </c>
      <c r="I73" s="76">
        <v>100</v>
      </c>
      <c r="J73" s="76">
        <v>299</v>
      </c>
      <c r="K73" s="76">
        <v>301</v>
      </c>
      <c r="L73" s="76">
        <v>30100</v>
      </c>
      <c r="M73" s="76">
        <v>30600</v>
      </c>
      <c r="N73" s="76">
        <v>500</v>
      </c>
      <c r="O73" s="50">
        <v>1.66E-2</v>
      </c>
      <c r="P73">
        <v>0</v>
      </c>
      <c r="Q73" s="76">
        <v>100</v>
      </c>
      <c r="S73" s="76">
        <v>100</v>
      </c>
      <c r="T73" t="s">
        <v>307</v>
      </c>
      <c r="U73" t="s">
        <v>338</v>
      </c>
      <c r="V73" t="s">
        <v>332</v>
      </c>
    </row>
    <row r="74" spans="3:22" x14ac:dyDescent="0.2">
      <c r="C74">
        <v>8609</v>
      </c>
      <c r="D74" t="s">
        <v>304</v>
      </c>
      <c r="E74" s="76">
        <v>389</v>
      </c>
      <c r="F74" s="76">
        <v>392</v>
      </c>
      <c r="G74">
        <v>-3</v>
      </c>
      <c r="H74" s="50">
        <v>-7.7000000000000002E-3</v>
      </c>
      <c r="I74" s="76">
        <v>1600</v>
      </c>
      <c r="J74">
        <v>303</v>
      </c>
      <c r="K74" s="76">
        <v>312</v>
      </c>
      <c r="L74" s="76">
        <v>499200</v>
      </c>
      <c r="M74" s="76">
        <v>622400</v>
      </c>
      <c r="N74" s="76">
        <v>123200</v>
      </c>
      <c r="O74" s="50">
        <v>0.2467</v>
      </c>
      <c r="P74">
        <v>0</v>
      </c>
      <c r="Q74" s="76">
        <v>1600</v>
      </c>
      <c r="S74" s="76">
        <v>1600</v>
      </c>
      <c r="T74" t="s">
        <v>307</v>
      </c>
      <c r="U74" t="s">
        <v>336</v>
      </c>
      <c r="V74" t="s">
        <v>309</v>
      </c>
    </row>
    <row r="75" spans="3:22" x14ac:dyDescent="0.2">
      <c r="C75">
        <v>8609</v>
      </c>
      <c r="D75" t="s">
        <v>328</v>
      </c>
      <c r="E75">
        <v>389</v>
      </c>
      <c r="F75">
        <v>392</v>
      </c>
      <c r="G75">
        <v>-3</v>
      </c>
      <c r="H75" s="50">
        <v>-7.7000000000000002E-3</v>
      </c>
      <c r="I75" s="76">
        <v>11000</v>
      </c>
      <c r="J75">
        <v>558</v>
      </c>
      <c r="K75">
        <v>335</v>
      </c>
      <c r="L75" s="76">
        <v>3685000</v>
      </c>
      <c r="M75" s="76">
        <v>4279000</v>
      </c>
      <c r="N75" s="76">
        <v>594000</v>
      </c>
      <c r="O75" s="50">
        <v>0.16109999999999999</v>
      </c>
      <c r="P75">
        <v>0</v>
      </c>
      <c r="Q75" s="76">
        <v>11000</v>
      </c>
      <c r="S75" s="76">
        <v>11000</v>
      </c>
      <c r="T75" t="s">
        <v>307</v>
      </c>
      <c r="U75" t="s">
        <v>336</v>
      </c>
      <c r="V75" t="s">
        <v>308</v>
      </c>
    </row>
    <row r="76" spans="3:22" x14ac:dyDescent="0.2">
      <c r="C76">
        <v>9501</v>
      </c>
      <c r="D76" t="s">
        <v>329</v>
      </c>
      <c r="E76" s="76">
        <v>312</v>
      </c>
      <c r="F76" s="76">
        <v>308</v>
      </c>
      <c r="G76">
        <v>4</v>
      </c>
      <c r="H76" s="50">
        <v>1.2999999999999999E-2</v>
      </c>
      <c r="I76">
        <v>300</v>
      </c>
      <c r="J76">
        <v>431</v>
      </c>
      <c r="K76" s="76">
        <v>431</v>
      </c>
      <c r="L76" s="76">
        <v>129300</v>
      </c>
      <c r="M76" s="76">
        <v>93600</v>
      </c>
      <c r="N76" s="76">
        <v>-35700</v>
      </c>
      <c r="O76" s="50">
        <v>-0.27610000000000001</v>
      </c>
      <c r="P76">
        <v>0</v>
      </c>
      <c r="Q76">
        <v>300</v>
      </c>
      <c r="S76">
        <v>300</v>
      </c>
      <c r="T76" t="s">
        <v>307</v>
      </c>
      <c r="U76" t="s">
        <v>334</v>
      </c>
      <c r="V76" t="s">
        <v>309</v>
      </c>
    </row>
    <row r="77" spans="3:22" x14ac:dyDescent="0.2">
      <c r="C77">
        <v>9946</v>
      </c>
      <c r="D77" t="s">
        <v>330</v>
      </c>
      <c r="E77" s="76">
        <v>1410</v>
      </c>
      <c r="F77" s="76">
        <v>1417</v>
      </c>
      <c r="G77">
        <v>-7</v>
      </c>
      <c r="H77" s="50">
        <v>-4.8999999999999998E-3</v>
      </c>
      <c r="I77">
        <v>100</v>
      </c>
      <c r="J77" s="76">
        <v>1586</v>
      </c>
      <c r="K77" s="76">
        <v>1589</v>
      </c>
      <c r="L77" s="76">
        <v>158900</v>
      </c>
      <c r="M77" s="76">
        <v>141000</v>
      </c>
      <c r="N77" s="76">
        <v>-17900</v>
      </c>
      <c r="O77" s="50">
        <v>-0.11260000000000001</v>
      </c>
      <c r="P77">
        <v>0</v>
      </c>
      <c r="Q77">
        <v>100</v>
      </c>
      <c r="S77">
        <v>100</v>
      </c>
      <c r="T77" t="s">
        <v>307</v>
      </c>
      <c r="U77" t="s">
        <v>334</v>
      </c>
      <c r="V77" t="s">
        <v>308</v>
      </c>
    </row>
    <row r="78" spans="3:22" x14ac:dyDescent="0.2">
      <c r="C78">
        <v>9984</v>
      </c>
      <c r="D78" t="s">
        <v>331</v>
      </c>
      <c r="E78" s="76">
        <v>5481</v>
      </c>
      <c r="F78" s="76">
        <v>5643</v>
      </c>
      <c r="G78">
        <v>-162</v>
      </c>
      <c r="H78" s="50">
        <v>-2.87E-2</v>
      </c>
      <c r="I78" s="76">
        <v>29900</v>
      </c>
      <c r="J78" s="76">
        <v>5065</v>
      </c>
      <c r="K78" s="76">
        <v>5345</v>
      </c>
      <c r="L78" s="76">
        <v>159815500</v>
      </c>
      <c r="M78" s="76">
        <v>163881900</v>
      </c>
      <c r="N78" s="76">
        <v>4066400</v>
      </c>
      <c r="O78" s="50">
        <v>2.5399999999999999E-2</v>
      </c>
      <c r="P78">
        <v>0</v>
      </c>
      <c r="Q78" s="76">
        <v>29900</v>
      </c>
      <c r="S78" s="76">
        <v>29900</v>
      </c>
      <c r="T78" t="s">
        <v>307</v>
      </c>
      <c r="U78" t="s">
        <v>338</v>
      </c>
      <c r="V78" t="s">
        <v>308</v>
      </c>
    </row>
    <row r="79" spans="3:22" x14ac:dyDescent="0.2">
      <c r="C79">
        <v>9984</v>
      </c>
      <c r="D79" t="s">
        <v>331</v>
      </c>
      <c r="E79" s="76">
        <v>5481</v>
      </c>
      <c r="F79" s="76">
        <v>5643</v>
      </c>
      <c r="G79">
        <v>-162</v>
      </c>
      <c r="H79" s="50">
        <v>-2.87E-2</v>
      </c>
      <c r="I79" s="76">
        <v>4900</v>
      </c>
      <c r="J79" s="76">
        <v>5453</v>
      </c>
      <c r="K79" s="76">
        <v>5921</v>
      </c>
      <c r="L79" s="76">
        <v>29012900</v>
      </c>
      <c r="M79" s="76">
        <v>26856900</v>
      </c>
      <c r="N79" s="76">
        <v>-2156000</v>
      </c>
      <c r="O79" s="50">
        <v>-7.4300000000000005E-2</v>
      </c>
      <c r="P79">
        <v>0</v>
      </c>
      <c r="Q79" s="76">
        <v>4900</v>
      </c>
      <c r="S79" s="76">
        <v>4900</v>
      </c>
      <c r="T79" t="s">
        <v>307</v>
      </c>
      <c r="U79" t="s">
        <v>333</v>
      </c>
      <c r="V79" t="s">
        <v>309</v>
      </c>
    </row>
    <row r="80" spans="3:22" x14ac:dyDescent="0.2">
      <c r="C80">
        <v>6502</v>
      </c>
      <c r="D80" t="s">
        <v>298</v>
      </c>
      <c r="E80" s="76">
        <v>4640</v>
      </c>
      <c r="F80" s="76">
        <v>4741</v>
      </c>
      <c r="G80">
        <v>-101</v>
      </c>
      <c r="H80" s="50">
        <v>-2.1299999999999999E-2</v>
      </c>
      <c r="I80">
        <v>100</v>
      </c>
      <c r="K80" s="76">
        <v>4300</v>
      </c>
      <c r="L80" s="76">
        <v>430000</v>
      </c>
      <c r="M80" s="76">
        <v>464100</v>
      </c>
      <c r="N80" s="76">
        <v>34100</v>
      </c>
      <c r="O80" s="50">
        <v>7.9299999999999995E-2</v>
      </c>
      <c r="P80">
        <v>0</v>
      </c>
      <c r="Q80">
        <v>100</v>
      </c>
      <c r="R80">
        <v>20210409</v>
      </c>
      <c r="T80" t="s">
        <v>307</v>
      </c>
      <c r="U80" t="s">
        <v>342</v>
      </c>
      <c r="V80" t="s">
        <v>308</v>
      </c>
    </row>
    <row r="81" spans="3:22" x14ac:dyDescent="0.2">
      <c r="C81">
        <v>6502</v>
      </c>
      <c r="D81" t="s">
        <v>298</v>
      </c>
      <c r="E81" s="76">
        <v>4640</v>
      </c>
      <c r="F81" s="76">
        <v>4741</v>
      </c>
      <c r="G81">
        <v>-101</v>
      </c>
      <c r="H81" s="50">
        <v>-2.1299999999999999E-2</v>
      </c>
      <c r="I81">
        <v>200</v>
      </c>
      <c r="K81" s="76">
        <v>4400</v>
      </c>
      <c r="L81" s="76">
        <v>880000</v>
      </c>
      <c r="M81" s="76">
        <v>928200</v>
      </c>
      <c r="N81" s="76">
        <v>48200</v>
      </c>
      <c r="O81" s="50">
        <v>5.4699999999999999E-2</v>
      </c>
      <c r="P81">
        <v>0</v>
      </c>
      <c r="Q81">
        <v>200</v>
      </c>
      <c r="R81">
        <v>20210409</v>
      </c>
      <c r="T81" t="s">
        <v>307</v>
      </c>
      <c r="U81" t="s">
        <v>343</v>
      </c>
      <c r="V81" t="s">
        <v>308</v>
      </c>
    </row>
    <row r="82" spans="3:22" x14ac:dyDescent="0.2">
      <c r="C82">
        <v>8609</v>
      </c>
      <c r="D82" t="s">
        <v>328</v>
      </c>
      <c r="E82" s="76">
        <v>389</v>
      </c>
      <c r="F82" s="76">
        <v>392</v>
      </c>
      <c r="G82">
        <v>-3</v>
      </c>
      <c r="H82" s="50">
        <v>-7.7000000000000002E-3</v>
      </c>
      <c r="I82" s="76">
        <v>200</v>
      </c>
      <c r="K82" s="76">
        <v>442</v>
      </c>
      <c r="L82" s="76">
        <v>88400</v>
      </c>
      <c r="M82" s="76">
        <v>77800</v>
      </c>
      <c r="N82" s="76">
        <v>10600</v>
      </c>
      <c r="O82" s="50">
        <v>0.11990000000000001</v>
      </c>
      <c r="P82">
        <v>200</v>
      </c>
      <c r="Q82" s="76">
        <v>0</v>
      </c>
      <c r="R82">
        <v>20210527</v>
      </c>
      <c r="T82" t="s">
        <v>307</v>
      </c>
      <c r="U82" t="s">
        <v>344</v>
      </c>
      <c r="V82" t="s">
        <v>308</v>
      </c>
    </row>
    <row r="83" spans="3:22" x14ac:dyDescent="0.2">
      <c r="C83">
        <v>8609</v>
      </c>
      <c r="D83" t="s">
        <v>304</v>
      </c>
      <c r="E83" s="76">
        <v>389</v>
      </c>
      <c r="F83" s="76">
        <v>392</v>
      </c>
      <c r="G83">
        <v>-3</v>
      </c>
      <c r="H83" s="50">
        <v>-7.7000000000000002E-3</v>
      </c>
      <c r="I83" s="76">
        <v>100</v>
      </c>
      <c r="K83" s="76">
        <v>350</v>
      </c>
      <c r="L83" s="76">
        <v>35000</v>
      </c>
      <c r="M83" s="76">
        <v>38900</v>
      </c>
      <c r="N83" s="76">
        <v>3900</v>
      </c>
      <c r="O83" s="50">
        <v>0.1114</v>
      </c>
      <c r="P83">
        <v>100</v>
      </c>
      <c r="Q83" s="76">
        <v>0</v>
      </c>
      <c r="R83">
        <v>20211217</v>
      </c>
      <c r="T83" t="s">
        <v>307</v>
      </c>
      <c r="U83" t="s">
        <v>345</v>
      </c>
      <c r="V83" t="s">
        <v>332</v>
      </c>
    </row>
    <row r="84" spans="3:22" x14ac:dyDescent="0.2">
      <c r="C84">
        <v>8609</v>
      </c>
      <c r="D84" t="s">
        <v>328</v>
      </c>
      <c r="E84" s="76">
        <v>389</v>
      </c>
      <c r="F84" s="76">
        <v>392</v>
      </c>
      <c r="G84">
        <v>-3</v>
      </c>
      <c r="H84" s="50">
        <v>-7.7000000000000002E-3</v>
      </c>
      <c r="I84" s="76">
        <v>100</v>
      </c>
      <c r="K84" s="76">
        <v>390</v>
      </c>
      <c r="L84" s="76">
        <v>39000</v>
      </c>
      <c r="M84" s="76">
        <v>38900</v>
      </c>
      <c r="N84" s="76">
        <v>-100</v>
      </c>
      <c r="O84" s="50">
        <v>-2.5000000000000001E-3</v>
      </c>
      <c r="P84">
        <v>100</v>
      </c>
      <c r="Q84" s="76">
        <v>0</v>
      </c>
      <c r="R84">
        <v>20211217</v>
      </c>
      <c r="T84" t="s">
        <v>307</v>
      </c>
      <c r="U84" t="s">
        <v>343</v>
      </c>
      <c r="V84" t="s">
        <v>308</v>
      </c>
    </row>
    <row r="85" spans="3:22" x14ac:dyDescent="0.2">
      <c r="C85">
        <v>9984</v>
      </c>
      <c r="D85" t="s">
        <v>305</v>
      </c>
      <c r="E85" s="76">
        <v>5481</v>
      </c>
      <c r="F85" s="76">
        <v>5643</v>
      </c>
      <c r="G85">
        <v>-162</v>
      </c>
      <c r="H85" s="50">
        <v>-2.87E-2</v>
      </c>
      <c r="I85" s="76">
        <v>1000</v>
      </c>
      <c r="K85" s="76">
        <v>9995</v>
      </c>
      <c r="L85" s="76">
        <v>9995000</v>
      </c>
      <c r="M85" s="76">
        <v>5481000</v>
      </c>
      <c r="N85" s="76">
        <v>-4514000</v>
      </c>
      <c r="O85" s="50">
        <v>-0.4516</v>
      </c>
      <c r="P85">
        <v>0</v>
      </c>
      <c r="Q85" s="76">
        <v>1000</v>
      </c>
      <c r="R85">
        <v>20210408</v>
      </c>
      <c r="T85" t="s">
        <v>307</v>
      </c>
      <c r="U85" t="s">
        <v>346</v>
      </c>
      <c r="V85" t="s">
        <v>308</v>
      </c>
    </row>
    <row r="86" spans="3:22" x14ac:dyDescent="0.2">
      <c r="C86">
        <v>9984</v>
      </c>
      <c r="D86" t="s">
        <v>331</v>
      </c>
      <c r="E86" s="76">
        <v>5481</v>
      </c>
      <c r="F86" s="76">
        <v>5643</v>
      </c>
      <c r="G86">
        <v>-162</v>
      </c>
      <c r="H86" s="50">
        <v>-2.87E-2</v>
      </c>
      <c r="I86">
        <v>300</v>
      </c>
      <c r="K86" s="76">
        <v>7700</v>
      </c>
      <c r="L86" s="76">
        <v>2310000</v>
      </c>
      <c r="M86" s="76">
        <v>1644300</v>
      </c>
      <c r="N86" s="76">
        <v>-665700</v>
      </c>
      <c r="O86" s="50">
        <v>-0.28810000000000002</v>
      </c>
      <c r="P86">
        <v>0</v>
      </c>
      <c r="Q86">
        <v>300</v>
      </c>
      <c r="R86">
        <v>20210624</v>
      </c>
      <c r="T86" t="s">
        <v>307</v>
      </c>
      <c r="U86" t="s">
        <v>347</v>
      </c>
      <c r="V86" t="s">
        <v>332</v>
      </c>
    </row>
    <row r="87" spans="3:22" x14ac:dyDescent="0.2">
      <c r="C87">
        <v>9984</v>
      </c>
      <c r="D87" t="s">
        <v>305</v>
      </c>
      <c r="E87" s="76">
        <v>5481</v>
      </c>
      <c r="F87" s="76">
        <v>5643</v>
      </c>
      <c r="G87">
        <v>-162</v>
      </c>
      <c r="H87" s="50">
        <v>-2.87E-2</v>
      </c>
      <c r="I87">
        <v>100</v>
      </c>
      <c r="K87" s="76">
        <v>7970</v>
      </c>
      <c r="L87" s="76">
        <v>797000</v>
      </c>
      <c r="M87" s="76">
        <v>548100</v>
      </c>
      <c r="N87" s="76">
        <v>-248900</v>
      </c>
      <c r="O87" s="50">
        <v>-0.31219999999999998</v>
      </c>
      <c r="P87">
        <v>0</v>
      </c>
      <c r="Q87">
        <v>100</v>
      </c>
      <c r="R87">
        <v>20210624</v>
      </c>
      <c r="T87" t="s">
        <v>307</v>
      </c>
      <c r="U87" t="s">
        <v>342</v>
      </c>
      <c r="V87" t="s">
        <v>332</v>
      </c>
    </row>
    <row r="88" spans="3:22" x14ac:dyDescent="0.2">
      <c r="C88">
        <v>9984</v>
      </c>
      <c r="D88" t="s">
        <v>331</v>
      </c>
      <c r="E88" s="76">
        <v>5481</v>
      </c>
      <c r="F88" s="76">
        <v>5643</v>
      </c>
      <c r="G88">
        <v>-162</v>
      </c>
      <c r="H88" s="50">
        <v>-2.87E-2</v>
      </c>
      <c r="I88">
        <v>400</v>
      </c>
      <c r="K88" s="76">
        <v>7920</v>
      </c>
      <c r="L88" s="76">
        <v>3168000</v>
      </c>
      <c r="M88" s="76">
        <v>2192400</v>
      </c>
      <c r="N88" s="76">
        <v>-975600</v>
      </c>
      <c r="O88" s="50">
        <v>-0.30790000000000001</v>
      </c>
      <c r="P88">
        <v>0</v>
      </c>
      <c r="Q88">
        <v>400</v>
      </c>
      <c r="R88">
        <v>20210628</v>
      </c>
      <c r="T88" t="s">
        <v>307</v>
      </c>
      <c r="U88" t="s">
        <v>348</v>
      </c>
      <c r="V88" t="s">
        <v>308</v>
      </c>
    </row>
    <row r="89" spans="3:22" x14ac:dyDescent="0.2">
      <c r="C89" t="s">
        <v>163</v>
      </c>
      <c r="D89" t="s">
        <v>306</v>
      </c>
      <c r="E89" t="s">
        <v>163</v>
      </c>
      <c r="F89" t="s">
        <v>163</v>
      </c>
      <c r="G89" t="s">
        <v>163</v>
      </c>
      <c r="H89" s="50" t="s">
        <v>163</v>
      </c>
      <c r="I89" t="s">
        <v>163</v>
      </c>
      <c r="J89" t="s">
        <v>163</v>
      </c>
      <c r="K89" t="s">
        <v>163</v>
      </c>
      <c r="L89" s="76" t="s">
        <v>163</v>
      </c>
      <c r="M89" s="76" t="s">
        <v>163</v>
      </c>
      <c r="N89" s="76" t="s">
        <v>163</v>
      </c>
      <c r="O89" s="50" t="s">
        <v>163</v>
      </c>
      <c r="P89" t="s">
        <v>163</v>
      </c>
      <c r="Q89" t="s">
        <v>163</v>
      </c>
      <c r="R89" t="s">
        <v>163</v>
      </c>
      <c r="S89" t="s">
        <v>163</v>
      </c>
      <c r="T89" t="s">
        <v>306</v>
      </c>
      <c r="U89" t="s">
        <v>349</v>
      </c>
      <c r="V89" t="s">
        <v>306</v>
      </c>
    </row>
    <row r="90" spans="3:22" x14ac:dyDescent="0.2">
      <c r="E90" s="76"/>
      <c r="F90" s="76"/>
      <c r="H90" s="50"/>
      <c r="K90" s="76"/>
      <c r="L90" s="76"/>
      <c r="M90" s="76"/>
      <c r="N90" s="76"/>
      <c r="O90" s="50"/>
    </row>
    <row r="91" spans="3:22" x14ac:dyDescent="0.2">
      <c r="E91" s="76"/>
      <c r="F91" s="76"/>
      <c r="H91" s="50"/>
      <c r="K91" s="76"/>
      <c r="L91" s="76"/>
      <c r="M91" s="76"/>
      <c r="N91" s="76"/>
      <c r="O91" s="50"/>
    </row>
    <row r="92" spans="3:22" x14ac:dyDescent="0.2">
      <c r="E92" s="76"/>
      <c r="F92" s="76"/>
      <c r="H92" s="50"/>
      <c r="K92" s="76"/>
      <c r="L92" s="76"/>
      <c r="M92" s="76"/>
      <c r="N92" s="76"/>
      <c r="O92" s="50"/>
    </row>
    <row r="93" spans="3:22" x14ac:dyDescent="0.2">
      <c r="H93" s="50"/>
      <c r="L93" s="76"/>
      <c r="M93" s="76"/>
      <c r="N93" s="76"/>
      <c r="O93" s="50"/>
    </row>
    <row r="94" spans="3:22" x14ac:dyDescent="0.2">
      <c r="E94" s="76"/>
      <c r="F94" s="76"/>
      <c r="H94" s="50"/>
      <c r="K94" s="76"/>
      <c r="L94" s="76"/>
      <c r="M94" s="76"/>
      <c r="N94" s="76"/>
      <c r="O94" s="50"/>
    </row>
    <row r="95" spans="3:22" x14ac:dyDescent="0.2">
      <c r="E95" s="76"/>
      <c r="F95" s="76"/>
      <c r="H95" s="50"/>
      <c r="K95" s="76"/>
      <c r="L95" s="76"/>
      <c r="M95" s="76"/>
      <c r="N95" s="76"/>
      <c r="O95" s="50"/>
    </row>
    <row r="96" spans="3:22" x14ac:dyDescent="0.2">
      <c r="E96" s="76"/>
      <c r="F96" s="76"/>
      <c r="H96" s="50"/>
      <c r="K96" s="76"/>
      <c r="L96" s="76"/>
      <c r="M96" s="76"/>
      <c r="N96" s="76"/>
      <c r="O96" s="50"/>
    </row>
    <row r="97" spans="5:17" x14ac:dyDescent="0.2">
      <c r="E97" s="76"/>
      <c r="F97" s="76"/>
      <c r="H97" s="50"/>
      <c r="K97" s="76"/>
      <c r="L97" s="76"/>
      <c r="M97" s="76"/>
      <c r="N97" s="76"/>
      <c r="O97" s="50"/>
    </row>
    <row r="98" spans="5:17" x14ac:dyDescent="0.2">
      <c r="H98" s="50"/>
      <c r="L98" s="76"/>
      <c r="M98" s="76"/>
      <c r="N98" s="76"/>
      <c r="O98" s="50"/>
    </row>
    <row r="99" spans="5:17" x14ac:dyDescent="0.2">
      <c r="E99" s="76"/>
      <c r="F99" s="76"/>
      <c r="H99" s="50"/>
      <c r="K99" s="76"/>
      <c r="L99" s="76"/>
      <c r="M99" s="76"/>
      <c r="N99" s="76"/>
      <c r="O99" s="50"/>
    </row>
    <row r="100" spans="5:17" x14ac:dyDescent="0.2">
      <c r="E100" s="76"/>
      <c r="F100" s="76"/>
      <c r="H100" s="50"/>
      <c r="K100" s="76"/>
      <c r="L100" s="76"/>
      <c r="M100" s="76"/>
      <c r="N100" s="76"/>
      <c r="O100" s="50"/>
    </row>
    <row r="101" spans="5:17" x14ac:dyDescent="0.2">
      <c r="H101" s="50"/>
      <c r="I101" s="76"/>
      <c r="L101" s="76"/>
      <c r="M101" s="76"/>
      <c r="N101" s="76"/>
      <c r="O101" s="50"/>
      <c r="Q101" s="76"/>
    </row>
    <row r="102" spans="5:17" x14ac:dyDescent="0.2">
      <c r="E102" s="76"/>
      <c r="F102" s="76"/>
      <c r="H102" s="50"/>
      <c r="K102" s="76"/>
      <c r="L102" s="76"/>
      <c r="M102" s="76"/>
      <c r="N102" s="76"/>
      <c r="O102" s="50"/>
    </row>
    <row r="103" spans="5:17" x14ac:dyDescent="0.2">
      <c r="E103" s="76"/>
      <c r="F103" s="76"/>
      <c r="H103" s="50"/>
      <c r="K103" s="76"/>
      <c r="L103" s="76"/>
      <c r="M103" s="76"/>
      <c r="N103" s="76"/>
      <c r="O103" s="50"/>
    </row>
    <row r="104" spans="5:17" x14ac:dyDescent="0.2">
      <c r="H104" s="50"/>
      <c r="L104" s="76"/>
      <c r="M104" s="76"/>
      <c r="N104" s="76"/>
      <c r="O104" s="50"/>
    </row>
    <row r="105" spans="5:17" x14ac:dyDescent="0.2">
      <c r="H105" s="50"/>
      <c r="L105" s="76"/>
      <c r="M105" s="76"/>
      <c r="N105" s="76"/>
      <c r="O105" s="50"/>
    </row>
    <row r="106" spans="5:17" x14ac:dyDescent="0.2">
      <c r="E106" s="76"/>
      <c r="F106" s="76"/>
      <c r="H106" s="50"/>
      <c r="K106" s="76"/>
      <c r="L106" s="76"/>
      <c r="M106" s="76"/>
      <c r="N106" s="76"/>
      <c r="O106" s="50"/>
    </row>
    <row r="107" spans="5:17" x14ac:dyDescent="0.2">
      <c r="E107" s="76"/>
      <c r="F107" s="76"/>
      <c r="H107" s="50"/>
      <c r="K107" s="76"/>
      <c r="L107" s="76"/>
      <c r="M107" s="76"/>
      <c r="N107" s="76"/>
      <c r="O107" s="50"/>
    </row>
    <row r="108" spans="5:17" x14ac:dyDescent="0.2">
      <c r="E108" s="76"/>
      <c r="F108" s="76"/>
      <c r="H108" s="50"/>
      <c r="K108" s="76"/>
      <c r="L108" s="76"/>
      <c r="M108" s="76"/>
      <c r="N108" s="76"/>
      <c r="O108" s="50"/>
    </row>
    <row r="109" spans="5:17" x14ac:dyDescent="0.2">
      <c r="H109" s="50"/>
      <c r="I109" s="76"/>
      <c r="L109" s="76"/>
      <c r="M109" s="76"/>
      <c r="N109" s="76"/>
      <c r="O109" s="50"/>
      <c r="Q109" s="76"/>
    </row>
    <row r="110" spans="5:17" x14ac:dyDescent="0.2">
      <c r="E110" s="76"/>
      <c r="F110" s="76"/>
      <c r="H110" s="50"/>
      <c r="K110" s="76"/>
      <c r="L110" s="76"/>
      <c r="M110" s="76"/>
      <c r="N110" s="76"/>
      <c r="O110" s="50"/>
    </row>
    <row r="111" spans="5:17" x14ac:dyDescent="0.2">
      <c r="E111" s="76"/>
      <c r="F111" s="76"/>
      <c r="H111" s="50"/>
      <c r="I111" s="76"/>
      <c r="L111" s="76"/>
      <c r="M111" s="76"/>
      <c r="N111" s="76"/>
      <c r="O111" s="50"/>
      <c r="Q111" s="76"/>
    </row>
    <row r="112" spans="5:17" x14ac:dyDescent="0.2">
      <c r="E112" s="76"/>
      <c r="F112" s="76"/>
      <c r="H112" s="50"/>
      <c r="K112" s="76"/>
      <c r="L112" s="76"/>
      <c r="M112" s="76"/>
      <c r="N112" s="76"/>
      <c r="O112" s="50"/>
    </row>
    <row r="113" spans="5:17" x14ac:dyDescent="0.2">
      <c r="E113" s="76"/>
      <c r="F113" s="76"/>
      <c r="H113" s="50"/>
      <c r="K113" s="76"/>
      <c r="L113" s="76"/>
      <c r="M113" s="76"/>
      <c r="N113" s="76"/>
      <c r="O113" s="50"/>
    </row>
    <row r="114" spans="5:17" x14ac:dyDescent="0.2">
      <c r="E114" s="76"/>
      <c r="F114" s="76"/>
      <c r="H114" s="50"/>
      <c r="K114" s="76"/>
      <c r="L114" s="76"/>
      <c r="M114" s="76"/>
      <c r="N114" s="76"/>
      <c r="O114" s="50"/>
    </row>
    <row r="115" spans="5:17" x14ac:dyDescent="0.2">
      <c r="E115" s="76"/>
      <c r="F115" s="76"/>
      <c r="H115" s="50"/>
      <c r="K115" s="76"/>
      <c r="L115" s="76"/>
      <c r="M115" s="76"/>
      <c r="N115" s="76"/>
      <c r="O115" s="50"/>
    </row>
    <row r="116" spans="5:17" x14ac:dyDescent="0.2">
      <c r="E116" s="76"/>
      <c r="F116" s="76"/>
      <c r="H116" s="50"/>
      <c r="K116" s="76"/>
      <c r="L116" s="76"/>
      <c r="M116" s="76"/>
      <c r="N116" s="76"/>
      <c r="O116" s="50"/>
    </row>
    <row r="117" spans="5:17" x14ac:dyDescent="0.2">
      <c r="H117" s="50"/>
      <c r="I117" s="76"/>
      <c r="L117" s="76"/>
      <c r="M117" s="76"/>
      <c r="N117" s="76"/>
      <c r="O117" s="50"/>
      <c r="Q117" s="76"/>
    </row>
    <row r="118" spans="5:17" x14ac:dyDescent="0.2">
      <c r="E118" s="76"/>
      <c r="F118" s="76"/>
      <c r="H118" s="50"/>
      <c r="K118" s="76"/>
      <c r="L118" s="76"/>
      <c r="M118" s="76"/>
      <c r="N118" s="76"/>
      <c r="O118" s="50"/>
    </row>
    <row r="119" spans="5:17" x14ac:dyDescent="0.2">
      <c r="H119" s="50"/>
      <c r="I119" s="76"/>
      <c r="L119" s="76"/>
      <c r="M119" s="76"/>
      <c r="N119" s="76"/>
      <c r="O119" s="50"/>
      <c r="Q119" s="76"/>
    </row>
    <row r="120" spans="5:17" x14ac:dyDescent="0.2">
      <c r="H120" s="50"/>
      <c r="L120" s="76"/>
      <c r="M120" s="76"/>
      <c r="N120" s="76"/>
      <c r="O120" s="50"/>
    </row>
    <row r="121" spans="5:17" x14ac:dyDescent="0.2">
      <c r="H121" s="50"/>
      <c r="I121" s="76"/>
      <c r="L121" s="76"/>
      <c r="M121" s="76"/>
      <c r="N121" s="76"/>
      <c r="O121" s="50"/>
      <c r="Q121" s="76"/>
    </row>
    <row r="122" spans="5:17" x14ac:dyDescent="0.2">
      <c r="H122" s="50"/>
      <c r="I122" s="76"/>
      <c r="L122" s="76"/>
      <c r="M122" s="76"/>
      <c r="N122" s="76"/>
      <c r="O122" s="50"/>
      <c r="Q122" s="76"/>
    </row>
    <row r="123" spans="5:17" x14ac:dyDescent="0.2">
      <c r="H123" s="50"/>
      <c r="L123" s="76"/>
      <c r="M123" s="76"/>
      <c r="N123" s="76"/>
      <c r="O123" s="50"/>
    </row>
    <row r="124" spans="5:17" x14ac:dyDescent="0.2">
      <c r="H124" s="50"/>
      <c r="L124" s="76"/>
      <c r="M124" s="76"/>
      <c r="N124" s="76"/>
      <c r="O124" s="50"/>
    </row>
    <row r="125" spans="5:17" x14ac:dyDescent="0.2">
      <c r="H125" s="50"/>
      <c r="L125" s="76"/>
      <c r="M125" s="76"/>
      <c r="N125" s="76"/>
      <c r="O125" s="50"/>
    </row>
    <row r="126" spans="5:17" x14ac:dyDescent="0.2">
      <c r="H126" s="50"/>
      <c r="L126" s="76"/>
      <c r="M126" s="76"/>
      <c r="N126" s="76"/>
      <c r="O126" s="50"/>
    </row>
    <row r="127" spans="5:17" x14ac:dyDescent="0.2">
      <c r="E127" s="76"/>
      <c r="F127" s="76"/>
      <c r="H127" s="50"/>
      <c r="K127" s="76"/>
      <c r="L127" s="76"/>
      <c r="M127" s="76"/>
      <c r="N127" s="76"/>
      <c r="O127" s="50"/>
    </row>
    <row r="128" spans="5:17" x14ac:dyDescent="0.2">
      <c r="H128" s="50"/>
      <c r="L128" s="76"/>
      <c r="M128" s="76"/>
      <c r="N128" s="76"/>
      <c r="O128" s="50"/>
    </row>
    <row r="129" spans="5:17" x14ac:dyDescent="0.2">
      <c r="E129" s="193"/>
      <c r="F129" s="193"/>
      <c r="H129" s="50"/>
      <c r="K129" s="76"/>
      <c r="L129" s="76"/>
      <c r="M129" s="76"/>
      <c r="N129" s="76"/>
      <c r="O129" s="50"/>
    </row>
    <row r="130" spans="5:17" x14ac:dyDescent="0.2">
      <c r="E130" s="76"/>
      <c r="F130" s="76"/>
      <c r="H130" s="50"/>
      <c r="K130" s="76"/>
      <c r="L130" s="76"/>
      <c r="M130" s="76"/>
      <c r="N130" s="76"/>
      <c r="O130" s="50"/>
    </row>
    <row r="131" spans="5:17" x14ac:dyDescent="0.2">
      <c r="E131" s="76"/>
      <c r="F131" s="76"/>
      <c r="H131" s="50"/>
      <c r="I131" s="76"/>
      <c r="K131" s="76"/>
      <c r="L131" s="76"/>
      <c r="M131" s="76"/>
      <c r="N131" s="76"/>
      <c r="O131" s="50"/>
      <c r="Q131" s="76"/>
    </row>
    <row r="132" spans="5:17" x14ac:dyDescent="0.2">
      <c r="E132" s="76"/>
      <c r="F132" s="76"/>
      <c r="H132" s="50"/>
      <c r="I132" s="76"/>
      <c r="K132" s="76"/>
      <c r="L132" s="76"/>
      <c r="M132" s="76"/>
      <c r="N132" s="76"/>
      <c r="O132" s="50"/>
      <c r="Q132" s="76"/>
    </row>
    <row r="133" spans="5:17" x14ac:dyDescent="0.2">
      <c r="E133" s="76"/>
      <c r="F133" s="76"/>
      <c r="H133" s="50"/>
      <c r="I133" s="76"/>
      <c r="K133" s="76"/>
      <c r="L133" s="76"/>
      <c r="M133" s="76"/>
      <c r="N133" s="76"/>
      <c r="O133" s="50"/>
      <c r="Q133" s="76"/>
    </row>
    <row r="134" spans="5:17" x14ac:dyDescent="0.2">
      <c r="E134" s="76"/>
      <c r="F134" s="76"/>
      <c r="H134" s="50"/>
      <c r="I134" s="76"/>
      <c r="K134" s="76"/>
      <c r="L134" s="76"/>
      <c r="M134" s="76"/>
      <c r="N134" s="76"/>
      <c r="O134" s="50"/>
      <c r="Q134" s="76"/>
    </row>
    <row r="135" spans="5:17" x14ac:dyDescent="0.2">
      <c r="E135" s="76"/>
      <c r="F135" s="76"/>
      <c r="H135" s="50"/>
      <c r="K135" s="76"/>
      <c r="L135" s="76"/>
      <c r="M135" s="76"/>
      <c r="N135" s="76"/>
      <c r="O135" s="50"/>
    </row>
    <row r="136" spans="5:17" x14ac:dyDescent="0.2">
      <c r="E136" s="76"/>
      <c r="F136" s="76"/>
      <c r="H136" s="50"/>
      <c r="I136" s="76"/>
      <c r="K136" s="76"/>
      <c r="L136" s="76"/>
      <c r="M136" s="76"/>
      <c r="N136" s="76"/>
      <c r="O136" s="50"/>
      <c r="Q136" s="76"/>
    </row>
    <row r="137" spans="5:17" x14ac:dyDescent="0.2">
      <c r="E137" s="76"/>
      <c r="F137" s="76"/>
      <c r="H137" s="50"/>
      <c r="I137" s="76"/>
      <c r="K137" s="76"/>
      <c r="L137" s="76"/>
      <c r="M137" s="76"/>
      <c r="N137" s="76"/>
      <c r="O137" s="50"/>
      <c r="Q137" s="76"/>
    </row>
    <row r="138" spans="5:17" x14ac:dyDescent="0.2">
      <c r="E138" s="76"/>
      <c r="F138" s="76"/>
      <c r="H138" s="50"/>
      <c r="I138" s="76"/>
      <c r="K138" s="76"/>
      <c r="L138" s="76"/>
      <c r="M138" s="76"/>
      <c r="N138" s="76"/>
      <c r="O138" s="50"/>
      <c r="Q138" s="76"/>
    </row>
    <row r="139" spans="5:17" x14ac:dyDescent="0.2">
      <c r="E139" s="76"/>
      <c r="F139" s="76"/>
      <c r="H139" s="50"/>
      <c r="I139" s="76"/>
      <c r="K139" s="76"/>
      <c r="L139" s="76"/>
      <c r="M139" s="76"/>
      <c r="N139" s="76"/>
      <c r="O139" s="50"/>
      <c r="Q139" s="76"/>
    </row>
    <row r="140" spans="5:17" x14ac:dyDescent="0.2">
      <c r="E140" s="76"/>
      <c r="F140" s="76"/>
      <c r="H140" s="50"/>
      <c r="K140" s="76"/>
      <c r="L140" s="76"/>
      <c r="M140" s="76"/>
      <c r="N140" s="76"/>
      <c r="O140" s="50"/>
    </row>
    <row r="141" spans="5:17" x14ac:dyDescent="0.2">
      <c r="E141" s="76"/>
      <c r="F141" s="76"/>
      <c r="H141" s="50"/>
      <c r="K141" s="76"/>
      <c r="L141" s="76"/>
      <c r="M141" s="76"/>
      <c r="N141" s="76"/>
      <c r="O141" s="50"/>
    </row>
    <row r="142" spans="5:17" x14ac:dyDescent="0.2">
      <c r="E142" s="76"/>
      <c r="F142" s="76"/>
      <c r="H142" s="50"/>
      <c r="I142" s="76"/>
      <c r="K142" s="76"/>
      <c r="L142" s="76"/>
      <c r="M142" s="76"/>
      <c r="N142" s="76"/>
      <c r="O142" s="50"/>
      <c r="Q142" s="76"/>
    </row>
    <row r="143" spans="5:17" x14ac:dyDescent="0.2">
      <c r="E143" s="76"/>
      <c r="F143" s="76"/>
      <c r="H143" s="50"/>
      <c r="I143" s="76"/>
      <c r="K143" s="76"/>
      <c r="L143" s="76"/>
      <c r="M143" s="76"/>
      <c r="N143" s="76"/>
      <c r="O143" s="50"/>
      <c r="Q143" s="76"/>
    </row>
    <row r="144" spans="5:17" x14ac:dyDescent="0.2">
      <c r="E144" s="76"/>
      <c r="F144" s="76"/>
      <c r="H144" s="50"/>
      <c r="K144" s="76"/>
      <c r="L144" s="76"/>
      <c r="M144" s="76"/>
      <c r="N144" s="76"/>
      <c r="O144" s="50"/>
    </row>
  </sheetData>
  <mergeCells count="24">
    <mergeCell ref="P1:R1"/>
    <mergeCell ref="Q3:Q4"/>
    <mergeCell ref="N5:O6"/>
    <mergeCell ref="N7:O7"/>
    <mergeCell ref="N8:O8"/>
    <mergeCell ref="N14:O14"/>
    <mergeCell ref="A5:D5"/>
    <mergeCell ref="F5:H5"/>
    <mergeCell ref="J5:L5"/>
    <mergeCell ref="A27:X27"/>
    <mergeCell ref="N9:O9"/>
    <mergeCell ref="N10:O10"/>
    <mergeCell ref="N11:O11"/>
    <mergeCell ref="N12:O12"/>
    <mergeCell ref="N13:O13"/>
    <mergeCell ref="N21:O21"/>
    <mergeCell ref="N22:O22"/>
    <mergeCell ref="C46:X46"/>
    <mergeCell ref="N15:O15"/>
    <mergeCell ref="N16:O16"/>
    <mergeCell ref="N17:O17"/>
    <mergeCell ref="N18:O18"/>
    <mergeCell ref="N19:O19"/>
    <mergeCell ref="N20:O20"/>
  </mergeCells>
  <phoneticPr fontId="3"/>
  <conditionalFormatting sqref="Q2">
    <cfRule type="expression" dxfId="101" priority="1" stopIfTrue="1">
      <formula>AND(O2&gt;O3,O2&gt;0)</formula>
    </cfRule>
    <cfRule type="expression" dxfId="100" priority="2" stopIfTrue="1">
      <formula>AND(O2&lt;O3,O2&gt;0)</formula>
    </cfRule>
  </conditionalFormatting>
  <conditionalFormatting sqref="R2">
    <cfRule type="expression" dxfId="99" priority="3" stopIfTrue="1">
      <formula>AND(O2&gt;O3,O2&gt;0)</formula>
    </cfRule>
    <cfRule type="expression" dxfId="98" priority="4" stopIfTrue="1">
      <formula>AND(O2&lt;O3,O2&gt;0)</formula>
    </cfRule>
  </conditionalFormatting>
  <conditionalFormatting sqref="Q14">
    <cfRule type="expression" dxfId="97" priority="5" stopIfTrue="1">
      <formula>AND(Q14&gt;O3,O2&gt;0)</formula>
    </cfRule>
    <cfRule type="expression" dxfId="96" priority="6" stopIfTrue="1">
      <formula>AND(Q14&lt;O3,O2&gt;0)</formula>
    </cfRule>
  </conditionalFormatting>
  <conditionalFormatting sqref="Q7">
    <cfRule type="expression" dxfId="95" priority="7" stopIfTrue="1">
      <formula>AND(Q7&gt;O3,O2&gt;0)</formula>
    </cfRule>
    <cfRule type="expression" dxfId="94" priority="8" stopIfTrue="1">
      <formula>AND(Q7&lt;O3,O2&gt;0)</formula>
    </cfRule>
  </conditionalFormatting>
  <conditionalFormatting sqref="Q8">
    <cfRule type="expression" dxfId="93" priority="9" stopIfTrue="1">
      <formula>AND(Q8&gt;O3,O2&gt;0)</formula>
    </cfRule>
    <cfRule type="expression" dxfId="92" priority="10" stopIfTrue="1">
      <formula>AND(Q8&lt;O3,O2&gt;0)</formula>
    </cfRule>
  </conditionalFormatting>
  <conditionalFormatting sqref="Q9">
    <cfRule type="expression" dxfId="91" priority="11" stopIfTrue="1">
      <formula>AND(Q9&gt;O3,O2&gt;0)</formula>
    </cfRule>
    <cfRule type="expression" dxfId="90" priority="12" stopIfTrue="1">
      <formula>AND(Q9&lt;O3,O2&gt;0)</formula>
    </cfRule>
  </conditionalFormatting>
  <conditionalFormatting sqref="Q10">
    <cfRule type="expression" dxfId="89" priority="13" stopIfTrue="1">
      <formula>AND(Q10&gt;O3,O2&gt;0)</formula>
    </cfRule>
    <cfRule type="expression" dxfId="88" priority="14" stopIfTrue="1">
      <formula>AND(Q10&lt;O3,O2&gt;0)</formula>
    </cfRule>
  </conditionalFormatting>
  <conditionalFormatting sqref="Q11">
    <cfRule type="expression" dxfId="87" priority="15" stopIfTrue="1">
      <formula>AND(Q11&gt;O3,O2&gt;0)</formula>
    </cfRule>
    <cfRule type="expression" dxfId="86" priority="16" stopIfTrue="1">
      <formula>AND(Q11&lt;O3,O2&gt;0)</formula>
    </cfRule>
  </conditionalFormatting>
  <conditionalFormatting sqref="Q12">
    <cfRule type="expression" dxfId="85" priority="17" stopIfTrue="1">
      <formula>AND(Q12&gt;O3,O2&gt;0)</formula>
    </cfRule>
    <cfRule type="expression" dxfId="84" priority="18" stopIfTrue="1">
      <formula>AND(Q12&lt;O3,O2&gt;0)</formula>
    </cfRule>
  </conditionalFormatting>
  <conditionalFormatting sqref="Q13">
    <cfRule type="expression" dxfId="83" priority="19" stopIfTrue="1">
      <formula>AND(Q13&gt;O3,O2&gt;0)</formula>
    </cfRule>
    <cfRule type="expression" dxfId="82" priority="20" stopIfTrue="1">
      <formula>AND(Q13&lt;O3,O2&gt;0)</formula>
    </cfRule>
  </conditionalFormatting>
  <conditionalFormatting sqref="Q15">
    <cfRule type="expression" dxfId="81" priority="21" stopIfTrue="1">
      <formula>AND(Q15&gt;O3,O2&gt;0)</formula>
    </cfRule>
    <cfRule type="expression" dxfId="80" priority="22" stopIfTrue="1">
      <formula>AND(Q15&lt;O3,O2&gt;0)</formula>
    </cfRule>
  </conditionalFormatting>
  <conditionalFormatting sqref="Q16">
    <cfRule type="expression" dxfId="79" priority="23" stopIfTrue="1">
      <formula>AND(Q16&gt;O3,O2&gt;0)</formula>
    </cfRule>
    <cfRule type="expression" dxfId="78" priority="24" stopIfTrue="1">
      <formula>AND(Q16&lt;O3,O2&gt;0)</formula>
    </cfRule>
  </conditionalFormatting>
  <conditionalFormatting sqref="Q17">
    <cfRule type="expression" dxfId="77" priority="25" stopIfTrue="1">
      <formula>AND(Q17&gt;O3,O2&gt;0)</formula>
    </cfRule>
    <cfRule type="expression" dxfId="76" priority="26" stopIfTrue="1">
      <formula>AND(Q17&lt;O3,O2&gt;0)</formula>
    </cfRule>
  </conditionalFormatting>
  <conditionalFormatting sqref="Q18">
    <cfRule type="expression" dxfId="75" priority="27" stopIfTrue="1">
      <formula>AND(Q18&gt;O3,O2&gt;0)</formula>
    </cfRule>
    <cfRule type="expression" dxfId="74" priority="28" stopIfTrue="1">
      <formula>AND(Q18&lt;O3,O2&gt;0)</formula>
    </cfRule>
  </conditionalFormatting>
  <conditionalFormatting sqref="Q19">
    <cfRule type="expression" dxfId="73" priority="29" stopIfTrue="1">
      <formula>AND(Q19&gt;O3,O2&gt;0)</formula>
    </cfRule>
    <cfRule type="expression" dxfId="72" priority="30" stopIfTrue="1">
      <formula>AND(Q19&lt;O3,O2&gt;0)</formula>
    </cfRule>
  </conditionalFormatting>
  <conditionalFormatting sqref="Q20">
    <cfRule type="expression" dxfId="71" priority="31" stopIfTrue="1">
      <formula>AND(Q20&gt;O3,O2&gt;0)</formula>
    </cfRule>
    <cfRule type="expression" dxfId="70" priority="32" stopIfTrue="1">
      <formula>AND(Q20&lt;O3,O2&gt;0)</formula>
    </cfRule>
  </conditionalFormatting>
  <conditionalFormatting sqref="Q21">
    <cfRule type="expression" dxfId="69" priority="33" stopIfTrue="1">
      <formula>AND(Q21&gt;O3,O2&gt;0)</formula>
    </cfRule>
    <cfRule type="expression" dxfId="68" priority="34" stopIfTrue="1">
      <formula>AND(Q21&lt;O3,O2&gt;0)</formula>
    </cfRule>
  </conditionalFormatting>
  <conditionalFormatting sqref="Q22:Q23">
    <cfRule type="expression" dxfId="67" priority="35" stopIfTrue="1">
      <formula>AND(Q22&gt;O3,O2&gt;0)</formula>
    </cfRule>
    <cfRule type="expression" dxfId="66" priority="36" stopIfTrue="1">
      <formula>AND(Q22&lt;O3,O2&gt;0)</formula>
    </cfRule>
  </conditionalFormatting>
  <conditionalFormatting sqref="P7">
    <cfRule type="expression" dxfId="65" priority="37" stopIfTrue="1">
      <formula>AND(Q7&gt;O3,O2&gt;0)</formula>
    </cfRule>
    <cfRule type="expression" dxfId="64" priority="38" stopIfTrue="1">
      <formula>AND(Q7&lt;O3,O2&gt;0)</formula>
    </cfRule>
  </conditionalFormatting>
  <conditionalFormatting sqref="P8">
    <cfRule type="expression" dxfId="63" priority="39" stopIfTrue="1">
      <formula>AND(Q8&gt;O3,O2&gt;0)</formula>
    </cfRule>
    <cfRule type="expression" dxfId="62" priority="40" stopIfTrue="1">
      <formula>AND(Q8&lt;O3,O2&gt;0)</formula>
    </cfRule>
  </conditionalFormatting>
  <conditionalFormatting sqref="P9">
    <cfRule type="expression" dxfId="61" priority="41" stopIfTrue="1">
      <formula>AND(Q9&gt;O3,O2&gt;0)</formula>
    </cfRule>
    <cfRule type="expression" dxfId="60" priority="42" stopIfTrue="1">
      <formula>AND(Q9&lt;O3,O2&gt;0)</formula>
    </cfRule>
  </conditionalFormatting>
  <conditionalFormatting sqref="P10">
    <cfRule type="expression" dxfId="59" priority="43" stopIfTrue="1">
      <formula>AND(Q10&gt;O3,O2&gt;0)</formula>
    </cfRule>
    <cfRule type="expression" dxfId="58" priority="44" stopIfTrue="1">
      <formula>AND(Q10&lt;O3,O2&gt;0)</formula>
    </cfRule>
  </conditionalFormatting>
  <conditionalFormatting sqref="P11">
    <cfRule type="expression" dxfId="57" priority="45" stopIfTrue="1">
      <formula>AND(Q11&gt;O3,O2&gt;0)</formula>
    </cfRule>
    <cfRule type="expression" dxfId="56" priority="46" stopIfTrue="1">
      <formula>AND(Q11&lt;O3,O2&gt;0)</formula>
    </cfRule>
  </conditionalFormatting>
  <conditionalFormatting sqref="P12">
    <cfRule type="expression" dxfId="55" priority="47" stopIfTrue="1">
      <formula>AND(Q12&gt;O3,O2&gt;0)</formula>
    </cfRule>
    <cfRule type="expression" dxfId="54" priority="48" stopIfTrue="1">
      <formula>AND(Q12&lt;O3,O2&gt;0)</formula>
    </cfRule>
  </conditionalFormatting>
  <conditionalFormatting sqref="P13">
    <cfRule type="expression" dxfId="53" priority="49" stopIfTrue="1">
      <formula>AND(Q13&gt;O3,O2&gt;0)</formula>
    </cfRule>
    <cfRule type="expression" dxfId="52" priority="50" stopIfTrue="1">
      <formula>AND(Q13&lt;O3,O2&gt;0)</formula>
    </cfRule>
  </conditionalFormatting>
  <conditionalFormatting sqref="P14">
    <cfRule type="expression" dxfId="51" priority="51" stopIfTrue="1">
      <formula>AND(Q14&gt;O3,O2&gt;0)</formula>
    </cfRule>
    <cfRule type="expression" dxfId="50" priority="52" stopIfTrue="1">
      <formula>AND(Q14&lt;O3,O2&gt;0)</formula>
    </cfRule>
  </conditionalFormatting>
  <conditionalFormatting sqref="P15">
    <cfRule type="expression" dxfId="49" priority="53" stopIfTrue="1">
      <formula>AND(Q15&gt;O3,O2&gt;0)</formula>
    </cfRule>
    <cfRule type="expression" dxfId="48" priority="54" stopIfTrue="1">
      <formula>AND(Q15&lt;O3,O2&gt;0)</formula>
    </cfRule>
  </conditionalFormatting>
  <conditionalFormatting sqref="P16">
    <cfRule type="expression" dxfId="47" priority="55" stopIfTrue="1">
      <formula>AND(Q16&gt;O3,O2&gt;0)</formula>
    </cfRule>
    <cfRule type="expression" dxfId="46" priority="56" stopIfTrue="1">
      <formula>AND(Q16&lt;O3,O2&gt;0)</formula>
    </cfRule>
  </conditionalFormatting>
  <conditionalFormatting sqref="P17">
    <cfRule type="expression" dxfId="45" priority="57" stopIfTrue="1">
      <formula>AND(Q17&gt;O3,O2&gt;0)</formula>
    </cfRule>
    <cfRule type="expression" dxfId="44" priority="58" stopIfTrue="1">
      <formula>AND(Q17&lt;O3,O2&gt;0)</formula>
    </cfRule>
  </conditionalFormatting>
  <conditionalFormatting sqref="P18">
    <cfRule type="expression" dxfId="43" priority="59" stopIfTrue="1">
      <formula>AND(Q18&gt;O3,O2&gt;0)</formula>
    </cfRule>
    <cfRule type="expression" dxfId="42" priority="60" stopIfTrue="1">
      <formula>AND(Q18&lt;O3,O2&gt;0)</formula>
    </cfRule>
  </conditionalFormatting>
  <conditionalFormatting sqref="P19">
    <cfRule type="expression" dxfId="41" priority="61" stopIfTrue="1">
      <formula>AND(Q19&gt;O3,O2&gt;0)</formula>
    </cfRule>
    <cfRule type="expression" dxfId="40" priority="62" stopIfTrue="1">
      <formula>AND(Q19&lt;O3,O2&gt;0)</formula>
    </cfRule>
  </conditionalFormatting>
  <conditionalFormatting sqref="P20">
    <cfRule type="expression" dxfId="39" priority="63" stopIfTrue="1">
      <formula>AND(Q20&gt;O3,O2&gt;0)</formula>
    </cfRule>
    <cfRule type="expression" dxfId="38" priority="64" stopIfTrue="1">
      <formula>AND(Q20&lt;O3,O2&gt;0)</formula>
    </cfRule>
  </conditionalFormatting>
  <conditionalFormatting sqref="P21">
    <cfRule type="expression" dxfId="37" priority="65" stopIfTrue="1">
      <formula>AND(Q21&gt;O3,O2&gt;0)</formula>
    </cfRule>
    <cfRule type="expression" dxfId="36" priority="66" stopIfTrue="1">
      <formula>AND(Q21&lt;O3,O2&gt;0)</formula>
    </cfRule>
  </conditionalFormatting>
  <conditionalFormatting sqref="P22:P23">
    <cfRule type="expression" dxfId="35" priority="67" stopIfTrue="1">
      <formula>AND(Q22&gt;O3,O2&gt;0)</formula>
    </cfRule>
    <cfRule type="expression" dxfId="34" priority="68" stopIfTrue="1">
      <formula>AND(Q22&lt;O3,O2&gt;0)</formula>
    </cfRule>
  </conditionalFormatting>
  <conditionalFormatting sqref="R7">
    <cfRule type="expression" dxfId="33" priority="69" stopIfTrue="1">
      <formula>AND(Q7&gt;O3,O2&gt;0)</formula>
    </cfRule>
    <cfRule type="expression" dxfId="32" priority="70" stopIfTrue="1">
      <formula>AND(Q7&lt;O3,O2&gt;0)</formula>
    </cfRule>
  </conditionalFormatting>
  <conditionalFormatting sqref="R8">
    <cfRule type="expression" dxfId="31" priority="71" stopIfTrue="1">
      <formula>AND(Q8&gt;O3,O2&gt;0)</formula>
    </cfRule>
    <cfRule type="expression" dxfId="30" priority="72" stopIfTrue="1">
      <formula>AND(Q8&lt;O3,O2&gt;0)</formula>
    </cfRule>
  </conditionalFormatting>
  <conditionalFormatting sqref="R9">
    <cfRule type="expression" dxfId="29" priority="73" stopIfTrue="1">
      <formula>AND(Q9&gt;O3,O2&gt;0)</formula>
    </cfRule>
    <cfRule type="expression" dxfId="28" priority="74" stopIfTrue="1">
      <formula>AND(Q9&lt;O3,O2&gt;0)</formula>
    </cfRule>
  </conditionalFormatting>
  <conditionalFormatting sqref="R10">
    <cfRule type="expression" dxfId="27" priority="75" stopIfTrue="1">
      <formula>AND(Q10&gt;O3,O2&gt;0)</formula>
    </cfRule>
    <cfRule type="expression" dxfId="26" priority="76" stopIfTrue="1">
      <formula>AND(Q10&lt;O3,O2&gt;0)</formula>
    </cfRule>
  </conditionalFormatting>
  <conditionalFormatting sqref="R11">
    <cfRule type="expression" dxfId="25" priority="77" stopIfTrue="1">
      <formula>AND(Q11&gt;O3,O2&gt;0)</formula>
    </cfRule>
    <cfRule type="expression" dxfId="24" priority="78" stopIfTrue="1">
      <formula>AND(Q11&lt;O3,O2&gt;0)</formula>
    </cfRule>
  </conditionalFormatting>
  <conditionalFormatting sqref="R12">
    <cfRule type="expression" dxfId="23" priority="79" stopIfTrue="1">
      <formula>AND(Q12&gt;O3,O2&gt;0)</formula>
    </cfRule>
    <cfRule type="expression" dxfId="22" priority="80" stopIfTrue="1">
      <formula>AND(Q12&lt;O3,O2&gt;0)</formula>
    </cfRule>
  </conditionalFormatting>
  <conditionalFormatting sqref="R13">
    <cfRule type="expression" dxfId="21" priority="81" stopIfTrue="1">
      <formula>AND(Q13&gt;O3,O2&gt;0)</formula>
    </cfRule>
    <cfRule type="expression" dxfId="20" priority="82" stopIfTrue="1">
      <formula>AND(Q13&lt;O3,O2&gt;0)</formula>
    </cfRule>
  </conditionalFormatting>
  <conditionalFormatting sqref="R14">
    <cfRule type="expression" dxfId="19" priority="83" stopIfTrue="1">
      <formula>AND(Q14&gt;O3,O2&gt;0)</formula>
    </cfRule>
    <cfRule type="expression" dxfId="18" priority="84" stopIfTrue="1">
      <formula>AND(Q14&lt;O3,O2&gt;0)</formula>
    </cfRule>
  </conditionalFormatting>
  <conditionalFormatting sqref="R15">
    <cfRule type="expression" dxfId="17" priority="85" stopIfTrue="1">
      <formula>AND(Q15&gt;O3,O2&gt;0)</formula>
    </cfRule>
    <cfRule type="expression" dxfId="16" priority="86" stopIfTrue="1">
      <formula>AND(Q15&lt;O3,O2&gt;0)</formula>
    </cfRule>
  </conditionalFormatting>
  <conditionalFormatting sqref="R16">
    <cfRule type="expression" dxfId="15" priority="87" stopIfTrue="1">
      <formula>AND(Q16&gt;O3,O2&gt;0)</formula>
    </cfRule>
    <cfRule type="expression" dxfId="14" priority="88" stopIfTrue="1">
      <formula>AND(Q16&lt;O3,O2&gt;0)</formula>
    </cfRule>
  </conditionalFormatting>
  <conditionalFormatting sqref="R17">
    <cfRule type="expression" dxfId="13" priority="89" stopIfTrue="1">
      <formula>AND(Q17&gt;O3,O2&gt;0)</formula>
    </cfRule>
    <cfRule type="expression" dxfId="12" priority="90" stopIfTrue="1">
      <formula>AND(Q17&lt;O3,O2&gt;0)</formula>
    </cfRule>
  </conditionalFormatting>
  <conditionalFormatting sqref="R18">
    <cfRule type="expression" dxfId="11" priority="91" stopIfTrue="1">
      <formula>AND(Q18&gt;O3,O2&gt;0)</formula>
    </cfRule>
    <cfRule type="expression" dxfId="10" priority="92" stopIfTrue="1">
      <formula>AND(Q18&lt;O3,O2&gt;0)</formula>
    </cfRule>
  </conditionalFormatting>
  <conditionalFormatting sqref="R19">
    <cfRule type="expression" dxfId="9" priority="93" stopIfTrue="1">
      <formula>AND(Q19&gt;O3,O2&gt;0)</formula>
    </cfRule>
    <cfRule type="expression" dxfId="8" priority="94" stopIfTrue="1">
      <formula>AND(Q19&lt;O3,O2&gt;0)</formula>
    </cfRule>
  </conditionalFormatting>
  <conditionalFormatting sqref="R20">
    <cfRule type="expression" dxfId="7" priority="95" stopIfTrue="1">
      <formula>AND(Q20&gt;O3,O2&gt;0)</formula>
    </cfRule>
    <cfRule type="expression" dxfId="6" priority="96" stopIfTrue="1">
      <formula>AND(Q20&lt;O3,O2&gt;0)</formula>
    </cfRule>
  </conditionalFormatting>
  <conditionalFormatting sqref="R21">
    <cfRule type="expression" dxfId="5" priority="97" stopIfTrue="1">
      <formula>AND(Q21&gt;O3,O2&gt;0)</formula>
    </cfRule>
    <cfRule type="expression" dxfId="4" priority="98" stopIfTrue="1">
      <formula>AND(Q21&lt;O3,O2&gt;0)</formula>
    </cfRule>
  </conditionalFormatting>
  <conditionalFormatting sqref="R22:R23">
    <cfRule type="expression" dxfId="3" priority="99" stopIfTrue="1">
      <formula>AND(Q22&gt;O3,O2&gt;0)</formula>
    </cfRule>
    <cfRule type="expression" dxfId="2" priority="100" stopIfTrue="1">
      <formula>AND(Q22&lt;O3,O2&gt;0)</formula>
    </cfRule>
  </conditionalFormatting>
  <conditionalFormatting sqref="O2">
    <cfRule type="expression" dxfId="1" priority="101" stopIfTrue="1">
      <formula>AND(O2&gt;O3,O2&gt;0)</formula>
    </cfRule>
    <cfRule type="expression" dxfId="0" priority="102" stopIfTrue="1">
      <formula>AND(O2&lt;O3,O2&gt;0)</formula>
    </cfRule>
  </conditionalFormatting>
  <pageMargins left="0.7" right="0.7" top="0.75" bottom="0.75" header="0.3" footer="0.3"/>
  <pageSetup paperSize="9" scale="4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Spinner 1">
              <controlPr defaultSize="0" autoPict="0">
                <anchor moveWithCells="1" sizeWithCells="1">
                  <from>
                    <xdr:col>3</xdr:col>
                    <xdr:colOff>190500</xdr:colOff>
                    <xdr:row>0</xdr:row>
                    <xdr:rowOff>76200</xdr:rowOff>
                  </from>
                  <to>
                    <xdr:col>3</xdr:col>
                    <xdr:colOff>781050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D46"/>
  <sheetViews>
    <sheetView topLeftCell="A3" zoomScale="80" zoomScaleNormal="80" workbookViewId="0">
      <selection activeCell="C6" sqref="C6"/>
    </sheetView>
  </sheetViews>
  <sheetFormatPr defaultColWidth="9" defaultRowHeight="13" x14ac:dyDescent="0.2"/>
  <cols>
    <col min="1" max="1" width="9.7265625" customWidth="1"/>
    <col min="2" max="2" width="19.90625" customWidth="1"/>
    <col min="3" max="3" width="7.453125" customWidth="1"/>
    <col min="4" max="4" width="99.6328125" customWidth="1"/>
  </cols>
  <sheetData>
    <row r="1" spans="1:4" x14ac:dyDescent="0.2">
      <c r="A1" s="86" t="s">
        <v>132</v>
      </c>
    </row>
    <row r="2" spans="1:4" ht="13.5" thickBot="1" x14ac:dyDescent="0.25"/>
    <row r="3" spans="1:4" ht="13.5" thickBot="1" x14ac:dyDescent="0.25">
      <c r="A3" s="107" t="str">
        <f>[1]!NEWORDER(C6,C7,C8,C9,C10,C11,C12,C13,C14,C15,C16,C17,C18,C19,C20,C21,C22,C23)</f>
        <v/>
      </c>
      <c r="B3" s="1" t="s">
        <v>148</v>
      </c>
    </row>
    <row r="5" spans="1:4" x14ac:dyDescent="0.2">
      <c r="A5" s="340" t="s">
        <v>57</v>
      </c>
      <c r="B5" s="341"/>
      <c r="C5" s="341"/>
      <c r="D5" s="342"/>
    </row>
    <row r="6" spans="1:4" x14ac:dyDescent="0.2">
      <c r="A6" s="108" t="s">
        <v>58</v>
      </c>
      <c r="B6" s="109" t="s">
        <v>59</v>
      </c>
      <c r="C6" s="209"/>
      <c r="D6" s="110"/>
    </row>
    <row r="7" spans="1:4" ht="78" x14ac:dyDescent="0.2">
      <c r="A7" s="111" t="s">
        <v>60</v>
      </c>
      <c r="B7" s="112" t="s">
        <v>61</v>
      </c>
      <c r="C7" s="210" t="s">
        <v>431</v>
      </c>
      <c r="D7" s="202" t="s">
        <v>248</v>
      </c>
    </row>
    <row r="8" spans="1:4" x14ac:dyDescent="0.2">
      <c r="A8" s="111" t="s">
        <v>63</v>
      </c>
      <c r="B8" s="112" t="s">
        <v>64</v>
      </c>
      <c r="C8" s="210">
        <v>3</v>
      </c>
      <c r="D8" s="106" t="s">
        <v>129</v>
      </c>
    </row>
    <row r="9" spans="1:4" x14ac:dyDescent="0.2">
      <c r="A9" s="111" t="s">
        <v>65</v>
      </c>
      <c r="B9" s="112" t="s">
        <v>66</v>
      </c>
      <c r="C9" s="210"/>
      <c r="D9" s="106" t="s">
        <v>158</v>
      </c>
    </row>
    <row r="10" spans="1:4" x14ac:dyDescent="0.2">
      <c r="A10" s="111" t="s">
        <v>67</v>
      </c>
      <c r="B10" s="112" t="s">
        <v>68</v>
      </c>
      <c r="C10" s="210"/>
      <c r="D10" s="106" t="s">
        <v>159</v>
      </c>
    </row>
    <row r="11" spans="1:4" x14ac:dyDescent="0.2">
      <c r="A11" s="111" t="s">
        <v>69</v>
      </c>
      <c r="B11" s="112" t="s">
        <v>70</v>
      </c>
      <c r="C11" s="210"/>
      <c r="D11" s="106" t="s">
        <v>71</v>
      </c>
    </row>
    <row r="12" spans="1:4" x14ac:dyDescent="0.2">
      <c r="A12" s="111" t="s">
        <v>72</v>
      </c>
      <c r="B12" s="112" t="s">
        <v>73</v>
      </c>
      <c r="C12" s="210"/>
      <c r="D12" s="106" t="s">
        <v>130</v>
      </c>
    </row>
    <row r="13" spans="1:4" x14ac:dyDescent="0.2">
      <c r="A13" s="111" t="s">
        <v>74</v>
      </c>
      <c r="B13" s="112" t="s">
        <v>75</v>
      </c>
      <c r="C13" s="210"/>
      <c r="D13" s="106" t="s">
        <v>76</v>
      </c>
    </row>
    <row r="14" spans="1:4" x14ac:dyDescent="0.2">
      <c r="A14" s="111" t="s">
        <v>77</v>
      </c>
      <c r="B14" s="112" t="s">
        <v>78</v>
      </c>
      <c r="C14" s="210"/>
      <c r="D14" s="106" t="s">
        <v>160</v>
      </c>
    </row>
    <row r="15" spans="1:4" x14ac:dyDescent="0.2">
      <c r="A15" s="111" t="s">
        <v>79</v>
      </c>
      <c r="B15" s="112" t="s">
        <v>82</v>
      </c>
      <c r="C15" s="210"/>
      <c r="D15" s="106" t="s">
        <v>80</v>
      </c>
    </row>
    <row r="16" spans="1:4" x14ac:dyDescent="0.2">
      <c r="A16" s="111" t="s">
        <v>81</v>
      </c>
      <c r="B16" s="112" t="s">
        <v>131</v>
      </c>
      <c r="C16" s="210"/>
      <c r="D16" s="106" t="s">
        <v>247</v>
      </c>
    </row>
    <row r="17" spans="1:4" x14ac:dyDescent="0.2">
      <c r="A17" s="111" t="s">
        <v>87</v>
      </c>
      <c r="B17" s="112" t="s">
        <v>83</v>
      </c>
      <c r="C17" s="210"/>
      <c r="D17" s="106" t="s">
        <v>142</v>
      </c>
    </row>
    <row r="18" spans="1:4" x14ac:dyDescent="0.2">
      <c r="A18" s="111" t="s">
        <v>161</v>
      </c>
      <c r="B18" s="112" t="s">
        <v>84</v>
      </c>
      <c r="C18" s="210" t="s">
        <v>430</v>
      </c>
      <c r="D18" s="106" t="s">
        <v>85</v>
      </c>
    </row>
    <row r="19" spans="1:4" ht="26" x14ac:dyDescent="0.2">
      <c r="A19" s="111" t="s">
        <v>149</v>
      </c>
      <c r="B19" s="112" t="s">
        <v>150</v>
      </c>
      <c r="C19" s="210"/>
      <c r="D19" s="202" t="s">
        <v>261</v>
      </c>
    </row>
    <row r="20" spans="1:4" x14ac:dyDescent="0.2">
      <c r="A20" s="111" t="s">
        <v>151</v>
      </c>
      <c r="B20" s="112" t="s">
        <v>152</v>
      </c>
      <c r="C20" s="210"/>
      <c r="D20" s="202" t="s">
        <v>157</v>
      </c>
    </row>
    <row r="21" spans="1:4" ht="26" x14ac:dyDescent="0.2">
      <c r="A21" s="111" t="s">
        <v>153</v>
      </c>
      <c r="B21" s="112" t="s">
        <v>154</v>
      </c>
      <c r="C21" s="210"/>
      <c r="D21" s="139" t="s">
        <v>251</v>
      </c>
    </row>
    <row r="22" spans="1:4" ht="26" x14ac:dyDescent="0.2">
      <c r="A22" s="111" t="s">
        <v>155</v>
      </c>
      <c r="B22" s="112" t="s">
        <v>156</v>
      </c>
      <c r="C22" s="210"/>
      <c r="D22" s="195" t="s">
        <v>252</v>
      </c>
    </row>
    <row r="23" spans="1:4" ht="26" x14ac:dyDescent="0.2">
      <c r="A23" s="115" t="s">
        <v>201</v>
      </c>
      <c r="B23" s="116" t="s">
        <v>202</v>
      </c>
      <c r="C23" s="217"/>
      <c r="D23" s="140" t="s">
        <v>253</v>
      </c>
    </row>
    <row r="26" spans="1:4" x14ac:dyDescent="0.2">
      <c r="A26" s="86" t="s">
        <v>99</v>
      </c>
    </row>
    <row r="27" spans="1:4" ht="13.5" thickBot="1" x14ac:dyDescent="0.25"/>
    <row r="28" spans="1:4" ht="13.5" thickBot="1" x14ac:dyDescent="0.25">
      <c r="A28" s="107" t="str">
        <f>[1]!MARGINORDER(C6,C7,C8,C9,C10,C11,C12,C13,C14,C15,C16,C17,C31,C19,C20,C21,C22,C32,C33)</f>
        <v>N/A</v>
      </c>
      <c r="B28" s="1" t="s">
        <v>148</v>
      </c>
    </row>
    <row r="30" spans="1:4" x14ac:dyDescent="0.2">
      <c r="A30" s="340" t="s">
        <v>57</v>
      </c>
      <c r="B30" s="341"/>
      <c r="C30" s="341"/>
      <c r="D30" s="342"/>
    </row>
    <row r="31" spans="1:4" x14ac:dyDescent="0.2">
      <c r="A31" s="111" t="s">
        <v>161</v>
      </c>
      <c r="B31" s="112" t="s">
        <v>84</v>
      </c>
      <c r="C31" s="210" t="s">
        <v>429</v>
      </c>
      <c r="D31" s="106" t="s">
        <v>85</v>
      </c>
    </row>
    <row r="32" spans="1:4" x14ac:dyDescent="0.2">
      <c r="A32" s="111" t="s">
        <v>201</v>
      </c>
      <c r="B32" s="112" t="s">
        <v>273</v>
      </c>
      <c r="C32" s="210"/>
      <c r="D32" s="106" t="s">
        <v>274</v>
      </c>
    </row>
    <row r="33" spans="1:4" ht="26" x14ac:dyDescent="0.2">
      <c r="A33" s="115" t="s">
        <v>311</v>
      </c>
      <c r="B33" s="116" t="s">
        <v>202</v>
      </c>
      <c r="C33" s="217"/>
      <c r="D33" s="218" t="s">
        <v>253</v>
      </c>
    </row>
    <row r="34" spans="1:4" x14ac:dyDescent="0.2">
      <c r="C34" s="49"/>
      <c r="D34" s="211"/>
    </row>
    <row r="36" spans="1:4" x14ac:dyDescent="0.2">
      <c r="A36" s="86" t="s">
        <v>133</v>
      </c>
    </row>
    <row r="37" spans="1:4" ht="13.5" thickBot="1" x14ac:dyDescent="0.25"/>
    <row r="38" spans="1:4" ht="13.5" thickBot="1" x14ac:dyDescent="0.25">
      <c r="A38" s="107" t="str">
        <f>[1]!REPAYMENTORDER(C6,C7,C41,C9,C10,C11,C12,C13,C14,C42,C43,C15,C16,C17,C44,C19,C20,C21,C22,C45,C46)</f>
        <v>N/A</v>
      </c>
      <c r="B38" s="1" t="s">
        <v>148</v>
      </c>
    </row>
    <row r="40" spans="1:4" x14ac:dyDescent="0.2">
      <c r="A40" s="340" t="s">
        <v>57</v>
      </c>
      <c r="B40" s="341"/>
      <c r="C40" s="341"/>
      <c r="D40" s="342"/>
    </row>
    <row r="41" spans="1:4" x14ac:dyDescent="0.2">
      <c r="A41" s="111" t="s">
        <v>63</v>
      </c>
      <c r="B41" s="112" t="s">
        <v>64</v>
      </c>
      <c r="C41" s="210"/>
      <c r="D41" s="106" t="s">
        <v>355</v>
      </c>
    </row>
    <row r="42" spans="1:4" x14ac:dyDescent="0.2">
      <c r="A42" s="111" t="s">
        <v>79</v>
      </c>
      <c r="B42" s="112" t="s">
        <v>100</v>
      </c>
      <c r="C42" s="210"/>
      <c r="D42" s="106" t="s">
        <v>124</v>
      </c>
    </row>
    <row r="43" spans="1:4" x14ac:dyDescent="0.2">
      <c r="A43" s="111" t="s">
        <v>81</v>
      </c>
      <c r="B43" s="112" t="s">
        <v>101</v>
      </c>
      <c r="C43" s="210"/>
      <c r="D43" s="106" t="s">
        <v>125</v>
      </c>
    </row>
    <row r="44" spans="1:4" x14ac:dyDescent="0.2">
      <c r="A44" s="111" t="s">
        <v>162</v>
      </c>
      <c r="B44" s="112" t="s">
        <v>84</v>
      </c>
      <c r="C44" s="210" t="s">
        <v>428</v>
      </c>
      <c r="D44" s="106" t="s">
        <v>85</v>
      </c>
    </row>
    <row r="45" spans="1:4" x14ac:dyDescent="0.2">
      <c r="A45" s="111" t="s">
        <v>310</v>
      </c>
      <c r="B45" s="112" t="s">
        <v>273</v>
      </c>
      <c r="C45" s="210"/>
      <c r="D45" s="106" t="s">
        <v>274</v>
      </c>
    </row>
    <row r="46" spans="1:4" ht="26" x14ac:dyDescent="0.2">
      <c r="A46" s="115" t="s">
        <v>350</v>
      </c>
      <c r="B46" s="116" t="s">
        <v>202</v>
      </c>
      <c r="C46" s="217"/>
      <c r="D46" s="218" t="s">
        <v>253</v>
      </c>
    </row>
  </sheetData>
  <mergeCells count="3">
    <mergeCell ref="A5:D5"/>
    <mergeCell ref="A30:D30"/>
    <mergeCell ref="A40:D40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0F79E-D6A0-450D-9F75-85756F6CB4B7}">
  <sheetPr codeName="Sheet4"/>
  <dimension ref="B2:M47"/>
  <sheetViews>
    <sheetView zoomScaleNormal="100" workbookViewId="0">
      <selection activeCell="D24" sqref="D24"/>
    </sheetView>
  </sheetViews>
  <sheetFormatPr defaultColWidth="9" defaultRowHeight="12" x14ac:dyDescent="0.2"/>
  <cols>
    <col min="1" max="2" width="3.6328125" style="221" customWidth="1"/>
    <col min="3" max="3" width="17.6328125" style="221" customWidth="1"/>
    <col min="4" max="6" width="10.6328125" style="222" customWidth="1"/>
    <col min="7" max="8" width="10.6328125" style="221" customWidth="1"/>
    <col min="9" max="9" width="11.08984375" style="221" customWidth="1"/>
    <col min="10" max="12" width="9" style="221"/>
    <col min="13" max="13" width="2.54296875" style="221" customWidth="1"/>
    <col min="14" max="15" width="9" style="221"/>
    <col min="16" max="16" width="3.08984375" style="221" customWidth="1"/>
    <col min="17" max="17" width="2.453125" style="221" customWidth="1"/>
    <col min="18" max="18" width="2.54296875" style="221" customWidth="1"/>
    <col min="19" max="16384" width="9" style="221"/>
  </cols>
  <sheetData>
    <row r="2" spans="2:13" ht="13" x14ac:dyDescent="0.2">
      <c r="C2" s="281" t="s">
        <v>479</v>
      </c>
    </row>
    <row r="4" spans="2:13" x14ac:dyDescent="0.2">
      <c r="B4" s="272" t="s">
        <v>465</v>
      </c>
      <c r="C4" s="280" t="s">
        <v>478</v>
      </c>
      <c r="D4" s="279"/>
      <c r="E4" s="279"/>
      <c r="F4" s="279"/>
      <c r="G4" s="279"/>
      <c r="H4" s="279"/>
      <c r="I4" s="221" t="s">
        <v>463</v>
      </c>
    </row>
    <row r="5" spans="2:13" x14ac:dyDescent="0.2">
      <c r="C5" s="271" t="s">
        <v>477</v>
      </c>
      <c r="D5" s="278" t="str">
        <f>IF(D4="","",IF(ISERROR([1]!QUOTE(D$4,"",$C5)),"",[1]!QUOTE(D$4,"",$C5)))</f>
        <v/>
      </c>
      <c r="E5" s="278" t="str" cm="1">
        <f t="array" ref="E5">_xlfn.SINGLE(IF(E4="","",IF(ISERROR([1]!QUOTE(E$4,"",$C5)),"",[1]!QUOTE(E$4,"",$C5))))</f>
        <v/>
      </c>
      <c r="F5" s="278" t="str" cm="1">
        <f t="array" ref="F5">_xlfn.SINGLE(IF(F4="","",IF(ISERROR([1]!QUOTE(F$4,"",$C5)),"",[1]!QUOTE(F$4,"",$C5))))</f>
        <v/>
      </c>
      <c r="G5" s="278" t="str" cm="1">
        <f t="array" ref="G5">_xlfn.SINGLE(IF(G4="","",IF(ISERROR([1]!QUOTE(G$4,"",$C5)),"",[1]!QUOTE(G$4,"",$C5))))</f>
        <v/>
      </c>
      <c r="H5" s="278" t="str" cm="1">
        <f t="array" ref="H5">_xlfn.SINGLE(IF(H4="","",IF(ISERROR([1]!QUOTE(H$4,"",$C5)),"",[1]!QUOTE(H$4,"",$C5))))</f>
        <v/>
      </c>
    </row>
    <row r="6" spans="2:13" x14ac:dyDescent="0.2">
      <c r="B6" s="272" t="s">
        <v>465</v>
      </c>
      <c r="C6" s="265" t="s">
        <v>476</v>
      </c>
      <c r="D6" s="277"/>
      <c r="E6" s="277"/>
      <c r="F6" s="277"/>
      <c r="G6" s="277"/>
      <c r="H6" s="277"/>
      <c r="I6" s="221" t="s">
        <v>463</v>
      </c>
    </row>
    <row r="7" spans="2:13" s="274" customFormat="1" x14ac:dyDescent="0.2">
      <c r="B7" s="272" t="s">
        <v>465</v>
      </c>
      <c r="C7" s="276" t="s">
        <v>475</v>
      </c>
      <c r="D7" s="275"/>
      <c r="E7" s="275"/>
      <c r="F7" s="275"/>
      <c r="G7" s="275"/>
      <c r="H7" s="275"/>
      <c r="I7" s="221" t="s">
        <v>463</v>
      </c>
      <c r="K7" s="221"/>
      <c r="L7" s="221"/>
      <c r="M7" s="221"/>
    </row>
    <row r="8" spans="2:13" x14ac:dyDescent="0.2">
      <c r="C8" s="271" t="s">
        <v>474</v>
      </c>
      <c r="D8" s="262" t="str" cm="1">
        <f t="array" ref="D8">_xlfn.SINGLE(IF(D4="","",IF(ISERROR([1]!QUOTE(D$4,"",$C8)),"",[1]!QUOTE(D$4,"",$C8))))</f>
        <v/>
      </c>
      <c r="E8" s="262" t="str" cm="1">
        <f t="array" ref="E8">_xlfn.SINGLE(IF(E4="","",IF(ISERROR([1]!QUOTE(E$4,"",$C8)),"",[1]!QUOTE(E$4,"",$C8))))</f>
        <v/>
      </c>
      <c r="F8" s="262" t="str" cm="1">
        <f t="array" ref="F8">_xlfn.SINGLE(IF(F4="","",IF(ISERROR([1]!QUOTE(F$4,"",$C8)),"",[1]!QUOTE(F$4,"",$C8))))</f>
        <v/>
      </c>
      <c r="G8" s="262" t="str" cm="1">
        <f t="array" ref="G8">_xlfn.SINGLE(IF(G4="","",IF(ISERROR([1]!QUOTE(G$4,"",$C8)),"",[1]!QUOTE(G$4,"",$C8))))</f>
        <v/>
      </c>
      <c r="H8" s="262" t="str" cm="1">
        <f t="array" ref="H8">_xlfn.SINGLE(IF(H4="","",IF(ISERROR([1]!QUOTE(H$4,"",$C8)),"",[1]!QUOTE(H$4,"",$C8))))</f>
        <v/>
      </c>
    </row>
    <row r="9" spans="2:13" x14ac:dyDescent="0.2">
      <c r="C9" s="269" t="s">
        <v>473</v>
      </c>
      <c r="D9" s="264" t="str" cm="1">
        <f t="array" ref="D9">_xlfn.SINGLE(IF(D4="","",IF(ISERROR([1]!QUOTE(D$4,"",$C9)),"",[1]!QUOTE(D$4,"",$C9))))</f>
        <v/>
      </c>
      <c r="E9" s="264" t="str" cm="1">
        <f t="array" ref="E9">_xlfn.SINGLE(IF(E4="","",IF(ISERROR([1]!QUOTE(E$4,"",$C9)),"",[1]!QUOTE(E$4,"",$C9))))</f>
        <v/>
      </c>
      <c r="F9" s="264" t="str" cm="1">
        <f t="array" ref="F9">_xlfn.SINGLE(IF(F4="","",IF(ISERROR([1]!QUOTE(F$4,"",$C9)),"",[1]!QUOTE(F$4,"",$C9))))</f>
        <v/>
      </c>
      <c r="G9" s="264" t="str" cm="1">
        <f t="array" ref="G9">_xlfn.SINGLE(IF(G4="","",IF(ISERROR([1]!QUOTE(G$4,"",$C9)),"",[1]!QUOTE(G$4,"",$C9))))</f>
        <v/>
      </c>
      <c r="H9" s="264" t="str" cm="1">
        <f t="array" ref="H9">_xlfn.SINGLE(IF(H4="","",IF(ISERROR([1]!QUOTE(H$4,"",$C9)),"",[1]!QUOTE(H$4,"",$C9))))</f>
        <v/>
      </c>
    </row>
    <row r="10" spans="2:13" x14ac:dyDescent="0.2">
      <c r="C10" s="267" t="s">
        <v>472</v>
      </c>
      <c r="D10" s="273" t="str" cm="1">
        <f t="array" ref="D10">_xlfn.SINGLE(IF(D4="","",IF(ISERROR([1]!QUOTE(D$4,"",$C10)),"",[1]!QUOTE(D$4,"",$C10))))</f>
        <v/>
      </c>
      <c r="E10" s="273" t="str" cm="1">
        <f t="array" ref="E10">_xlfn.SINGLE(IF(E4="","",IF(ISERROR([1]!QUOTE(E$4,"",$C10)),"",[1]!QUOTE(E$4,"",$C10))))</f>
        <v/>
      </c>
      <c r="F10" s="273" t="str" cm="1">
        <f t="array" ref="F10">_xlfn.SINGLE(IF(F4="","",IF(ISERROR([1]!QUOTE(F$4,"",$C10)),"",[1]!QUOTE(F$4,"",$C10))))</f>
        <v/>
      </c>
      <c r="G10" s="273" t="str" cm="1">
        <f t="array" ref="G10">_xlfn.SINGLE(IF(G4="","",IF(ISERROR([1]!QUOTE(G$4,"",$C10)),"",[1]!QUOTE(G$4,"",$C10))))</f>
        <v/>
      </c>
      <c r="H10" s="273" t="str" cm="1">
        <f t="array" ref="H10">_xlfn.SINGLE(IF(H4="","",IF(ISERROR([1]!QUOTE(H$4,"",$C10)),"",[1]!QUOTE(H$4,"",$C10))))</f>
        <v/>
      </c>
    </row>
    <row r="11" spans="2:13" x14ac:dyDescent="0.2">
      <c r="B11" s="272" t="s">
        <v>465</v>
      </c>
      <c r="C11" s="271" t="s">
        <v>471</v>
      </c>
      <c r="D11" s="270"/>
      <c r="E11" s="270"/>
      <c r="F11" s="270"/>
      <c r="G11" s="270"/>
      <c r="H11" s="270"/>
      <c r="I11" s="221" t="s">
        <v>463</v>
      </c>
    </row>
    <row r="12" spans="2:13" ht="11.5" customHeight="1" x14ac:dyDescent="0.2">
      <c r="C12" s="269" t="s">
        <v>470</v>
      </c>
      <c r="D12" s="268" t="str">
        <f>IF(OR(D8="",D9=0,D20=1),"",IF(D8&gt;=D11,1,""))</f>
        <v/>
      </c>
      <c r="E12" s="268" t="str">
        <f>IF(OR(E8="",E9=0,E20=1),"",IF(E8&gt;=E11,1,""))</f>
        <v/>
      </c>
      <c r="F12" s="268" t="str">
        <f>IF(OR(F8="",F9=0,F20=1),"",IF(F8&gt;=F11,1,""))</f>
        <v/>
      </c>
      <c r="G12" s="268" t="str">
        <f>IF(OR(G8="",G9=0,G20=1),"",IF(G8&gt;=G11,1,""))</f>
        <v/>
      </c>
      <c r="H12" s="268" t="str">
        <f>IF(OR(H8="",H9=0,H20=1),"",IF(H8&gt;=H11,1,""))</f>
        <v/>
      </c>
      <c r="I12" s="221" t="s">
        <v>469</v>
      </c>
    </row>
    <row r="13" spans="2:13" ht="12" customHeight="1" x14ac:dyDescent="0.2">
      <c r="C13" s="267" t="s">
        <v>460</v>
      </c>
      <c r="D13" s="266"/>
      <c r="E13" s="266"/>
      <c r="F13" s="266"/>
      <c r="G13" s="266"/>
      <c r="H13" s="266"/>
    </row>
    <row r="14" spans="2:13" x14ac:dyDescent="0.2">
      <c r="B14" s="272" t="s">
        <v>465</v>
      </c>
      <c r="C14" s="271" t="s">
        <v>468</v>
      </c>
      <c r="D14" s="270"/>
      <c r="E14" s="270"/>
      <c r="F14" s="270"/>
      <c r="G14" s="270"/>
      <c r="H14" s="270"/>
      <c r="I14" s="221" t="s">
        <v>463</v>
      </c>
    </row>
    <row r="15" spans="2:13" x14ac:dyDescent="0.2">
      <c r="C15" s="269" t="s">
        <v>467</v>
      </c>
      <c r="D15" s="268" t="str">
        <f>IF(D9="","",D9-D14)</f>
        <v/>
      </c>
      <c r="E15" s="268" t="str">
        <f>IF(E9="","",E9-E14)</f>
        <v/>
      </c>
      <c r="F15" s="268" t="str">
        <f>IF(F9="","",F9-F14)</f>
        <v/>
      </c>
      <c r="G15" s="268" t="str">
        <f>IF(G9="","",G9-G14)</f>
        <v/>
      </c>
      <c r="H15" s="268" t="str">
        <f>IF(H9="","",H9-H14)</f>
        <v/>
      </c>
    </row>
    <row r="16" spans="2:13" ht="12" customHeight="1" x14ac:dyDescent="0.2">
      <c r="C16" s="269" t="s">
        <v>462</v>
      </c>
      <c r="D16" s="268" t="str">
        <f>IF(OR(D8=0,D8="",D13&lt;&gt;1),"",IF(AND(D8&lt;=D15,D13=1,D20&lt;&gt;1),1,""))</f>
        <v/>
      </c>
      <c r="E16" s="268" t="str">
        <f>IF(OR(E8=0,E8="",E13&lt;&gt;1),"",IF(AND(E8&lt;=E15,E13=1,E20&lt;&gt;1),1,""))</f>
        <v/>
      </c>
      <c r="F16" s="268" t="str">
        <f>IF(OR(F8=0,F8="",F13&lt;&gt;1),"",IF(AND(F8&lt;=F15,F13=1,F20&lt;&gt;1),1,""))</f>
        <v/>
      </c>
      <c r="G16" s="268" t="str">
        <f>IF(OR(G8=0,G8="",G13&lt;&gt;1),"",IF(AND(G8&lt;=G15,G13=1,G20&lt;&gt;1),1,""))</f>
        <v/>
      </c>
      <c r="H16" s="268" t="str">
        <f>IF(OR(H8=0,H8="",H13&lt;&gt;1),"",IF(AND(H8&lt;=H15,H13=1,H20&lt;&gt;1),1,""))</f>
        <v/>
      </c>
      <c r="I16" s="221" t="s">
        <v>466</v>
      </c>
    </row>
    <row r="17" spans="2:9" ht="13" customHeight="1" x14ac:dyDescent="0.2">
      <c r="C17" s="267" t="s">
        <v>460</v>
      </c>
      <c r="D17" s="266"/>
      <c r="E17" s="266"/>
      <c r="F17" s="266"/>
      <c r="G17" s="266"/>
      <c r="H17" s="266"/>
    </row>
    <row r="18" spans="2:9" x14ac:dyDescent="0.2">
      <c r="B18" s="272" t="s">
        <v>465</v>
      </c>
      <c r="C18" s="271" t="s">
        <v>464</v>
      </c>
      <c r="D18" s="270"/>
      <c r="E18" s="270"/>
      <c r="F18" s="270"/>
      <c r="G18" s="270"/>
      <c r="H18" s="270"/>
      <c r="I18" s="221" t="s">
        <v>463</v>
      </c>
    </row>
    <row r="19" spans="2:9" ht="12.5" customHeight="1" x14ac:dyDescent="0.2">
      <c r="C19" s="269" t="s">
        <v>462</v>
      </c>
      <c r="D19" s="268" t="str">
        <f>IF(OR(D8="",D10=0),"",IF(D8&lt;=D18,1,""))</f>
        <v/>
      </c>
      <c r="E19" s="268" t="str">
        <f>IF(OR(E8="",E10=0),"",IF(E8&lt;=E18,1,""))</f>
        <v/>
      </c>
      <c r="F19" s="268" t="str">
        <f>IF(OR(F8="",F10=0),"",IF(F8&lt;=F18,1,""))</f>
        <v/>
      </c>
      <c r="G19" s="268" t="str">
        <f>IF(OR(G8="",G10=0),"",IF(G8&lt;=G18,1,""))</f>
        <v/>
      </c>
      <c r="H19" s="268" t="str">
        <f>IF(OR(H8="",H10=0),"",IF(H8&lt;=H18,1,""))</f>
        <v/>
      </c>
      <c r="I19" s="221" t="s">
        <v>461</v>
      </c>
    </row>
    <row r="20" spans="2:9" ht="14" customHeight="1" x14ac:dyDescent="0.2">
      <c r="C20" s="267" t="s">
        <v>460</v>
      </c>
      <c r="D20" s="266"/>
      <c r="E20" s="266"/>
      <c r="F20" s="266"/>
      <c r="G20" s="266"/>
      <c r="H20" s="266"/>
    </row>
    <row r="21" spans="2:9" x14ac:dyDescent="0.2">
      <c r="C21" s="265" t="s">
        <v>459</v>
      </c>
      <c r="D21" s="264" t="str">
        <f>IF(OR(D8="",D8=0),"-",(D8-D6)*D7)</f>
        <v>-</v>
      </c>
      <c r="E21" s="264" t="str">
        <f>IF(OR(E8="",E8=0),"-",(E8-E6)*E7)</f>
        <v>-</v>
      </c>
      <c r="F21" s="264" t="str">
        <f>IF(OR(F8="",F8=0),"-",(F8-F6)*F7)</f>
        <v>-</v>
      </c>
      <c r="G21" s="264" t="str">
        <f>IF(OR(G8="",G8=0),"-",(G8-G6)*G7)</f>
        <v>-</v>
      </c>
      <c r="H21" s="264" t="str">
        <f>IF(OR(H8="",H8=0),"-",(H8-H6)*H7)</f>
        <v>-</v>
      </c>
    </row>
    <row r="22" spans="2:9" x14ac:dyDescent="0.2">
      <c r="C22" s="263" t="s">
        <v>458</v>
      </c>
      <c r="D22" s="262" t="str">
        <f>IF(OR(D4="",D7="",D6="",D8="",D8=0,D18=""),"",IF(D20=1,"-",(D15-D6)*D7))</f>
        <v/>
      </c>
      <c r="E22" s="262" t="str">
        <f>IF(OR(E4="",E7="",E6="",E8="",E8=0,E18=""),"",IF(E20=1,"-",(E15-E6)*E7))</f>
        <v/>
      </c>
      <c r="F22" s="262" t="str">
        <f>IF(OR(F4="",F7="",F6="",F8="",F8=0,F18=""),"",IF(F20=1,"-",(F15-F6)*F7))</f>
        <v/>
      </c>
      <c r="G22" s="262" t="str">
        <f>IF(OR(G4="",G7="",G6="",G8="",G8=0,G18=""),"",IF(G20=1,"-",(G15-G6)*G7))</f>
        <v/>
      </c>
      <c r="H22" s="262" t="str">
        <f>IF(OR(H4="",H7="",H6="",H8="",H8=0,H18=""),"",IF(H20=1,"-",(H15-H6)*H7))</f>
        <v/>
      </c>
    </row>
    <row r="23" spans="2:9" x14ac:dyDescent="0.2">
      <c r="C23" s="261" t="s">
        <v>457</v>
      </c>
      <c r="D23" s="260" t="str">
        <f>IF(OR(D4="",D7="",D6="",D8=0,D18=""),"",IF(D17=1,"-",(D18-D6)*D7))</f>
        <v/>
      </c>
      <c r="E23" s="260" t="str">
        <f>IF(OR(E4="",E7="",E6="",E8=0,E18=""),"",IF(E17=1,"-",(E18-E6)*E7))</f>
        <v/>
      </c>
      <c r="F23" s="260" t="str">
        <f>IF(OR(F4="",F7="",F6="",F8=0,F18=""),"",IF(F17=1,"-",(F18-F6)*F7))</f>
        <v/>
      </c>
      <c r="G23" s="260" t="str">
        <f>IF(OR(G4="",G7="",G6="",G8=0,G18=""),"",IF(G17=1,"-",(G18-G6)*G7))</f>
        <v/>
      </c>
      <c r="H23" s="260" t="str">
        <f>IF(OR(H4="",H7="",H6="",H8=0,H18=""),"",IF(H17=1,"-",(H18-H6)*H7))</f>
        <v/>
      </c>
    </row>
    <row r="24" spans="2:9" x14ac:dyDescent="0.2">
      <c r="C24" s="259"/>
      <c r="D24" s="258" t="str">
        <f>IF(OR(D16=1,D19=1),[1]!NEWORDER(D26,D27,D28,D29,D30,D31,D32,D33,D34,D35,D36,D37,D38,D39,D40,D41,D42),IF(OR(D17=1,D20=1),"決済完了","待機中"))</f>
        <v>待機中</v>
      </c>
      <c r="E24" s="258" t="str">
        <f>IF(OR(E16=1,E19=1),[1]!NEWORDER(E26,E27,E28,E29,E30,E31,E32,E33,E34,E35,E36,E37,E38,E39,E40,E41,E42),IF(OR(E17=1,E20=1),"決済完了","待機中"))</f>
        <v>待機中</v>
      </c>
      <c r="F24" s="258" t="str">
        <f>IF(OR(F16=1,F19=1),[1]!NEWORDER(F26,F27,F28,F29,F30,F31,F32,F33,F34,F35,F36,F37,F38,F39,F40,F41,F42),IF(OR(F17=1,F20=1),"決済完了","待機中"))</f>
        <v>待機中</v>
      </c>
      <c r="G24" s="258" t="str">
        <f>IF(OR(G16=1,G19=1),[1]!NEWORDER(G26,G27,G28,G29,G30,G31,G32,G33,G34,G35,G36,G37,G38,G39,G40,G41,G42),IF(OR(G17=1,G20=1),"決済完了","待機中"))</f>
        <v>待機中</v>
      </c>
      <c r="H24" s="258" t="str">
        <f>IF(OR(H16=1,H19=1),[1]!NEWORDER(H26,H27,H28,H29,H30,H31,H32,H33,H34,H35,H36,H37,H38,H39,H40,H41,H42),IF(OR(H17=1,H20=1),"決済完了","待機中"))</f>
        <v>待機中</v>
      </c>
    </row>
    <row r="26" spans="2:9" x14ac:dyDescent="0.2">
      <c r="B26" s="221">
        <v>1</v>
      </c>
      <c r="C26" s="257" t="s">
        <v>59</v>
      </c>
      <c r="D26" s="255">
        <f>D4</f>
        <v>0</v>
      </c>
      <c r="E26" s="255">
        <f>E4</f>
        <v>0</v>
      </c>
      <c r="F26" s="256">
        <f>F4</f>
        <v>0</v>
      </c>
      <c r="G26" s="255">
        <f>G4</f>
        <v>0</v>
      </c>
      <c r="H26" s="254">
        <f>H4</f>
        <v>0</v>
      </c>
      <c r="I26" s="253"/>
    </row>
    <row r="27" spans="2:9" x14ac:dyDescent="0.2">
      <c r="B27" s="221">
        <v>2</v>
      </c>
      <c r="C27" s="249" t="s">
        <v>61</v>
      </c>
      <c r="D27" s="248"/>
      <c r="E27" s="248"/>
      <c r="F27" s="252"/>
      <c r="G27" s="248"/>
      <c r="H27" s="247"/>
      <c r="I27" s="242" t="s">
        <v>456</v>
      </c>
    </row>
    <row r="28" spans="2:9" x14ac:dyDescent="0.2">
      <c r="B28" s="221">
        <v>3</v>
      </c>
      <c r="C28" s="249" t="s">
        <v>64</v>
      </c>
      <c r="D28" s="248">
        <v>1</v>
      </c>
      <c r="E28" s="248">
        <v>1</v>
      </c>
      <c r="F28" s="248">
        <v>1</v>
      </c>
      <c r="G28" s="248">
        <v>1</v>
      </c>
      <c r="H28" s="247">
        <v>1</v>
      </c>
      <c r="I28" s="246" t="s">
        <v>455</v>
      </c>
    </row>
    <row r="29" spans="2:9" x14ac:dyDescent="0.2">
      <c r="B29" s="221">
        <v>4</v>
      </c>
      <c r="C29" s="249" t="s">
        <v>66</v>
      </c>
      <c r="D29" s="248">
        <v>0</v>
      </c>
      <c r="E29" s="248">
        <v>0</v>
      </c>
      <c r="F29" s="248">
        <v>0</v>
      </c>
      <c r="G29" s="248">
        <v>0</v>
      </c>
      <c r="H29" s="247">
        <v>0</v>
      </c>
      <c r="I29" s="246" t="s">
        <v>454</v>
      </c>
    </row>
    <row r="30" spans="2:9" x14ac:dyDescent="0.2">
      <c r="B30" s="221">
        <v>5</v>
      </c>
      <c r="C30" s="249" t="s">
        <v>68</v>
      </c>
      <c r="D30" s="248">
        <v>0</v>
      </c>
      <c r="E30" s="248">
        <v>0</v>
      </c>
      <c r="F30" s="248">
        <v>0</v>
      </c>
      <c r="G30" s="248">
        <v>0</v>
      </c>
      <c r="H30" s="247">
        <v>0</v>
      </c>
      <c r="I30" s="246" t="s">
        <v>453</v>
      </c>
    </row>
    <row r="31" spans="2:9" x14ac:dyDescent="0.2">
      <c r="B31" s="221">
        <v>6</v>
      </c>
      <c r="C31" s="249" t="s">
        <v>70</v>
      </c>
      <c r="D31" s="251">
        <f>D7</f>
        <v>0</v>
      </c>
      <c r="E31" s="251">
        <f>E7</f>
        <v>0</v>
      </c>
      <c r="F31" s="251">
        <f>F7</f>
        <v>0</v>
      </c>
      <c r="G31" s="251">
        <f>G7</f>
        <v>0</v>
      </c>
      <c r="H31" s="250">
        <f>H7</f>
        <v>0</v>
      </c>
      <c r="I31" s="246" t="s">
        <v>71</v>
      </c>
    </row>
    <row r="32" spans="2:9" x14ac:dyDescent="0.2">
      <c r="B32" s="221">
        <v>7</v>
      </c>
      <c r="C32" s="249" t="s">
        <v>73</v>
      </c>
      <c r="D32" s="248" t="s">
        <v>452</v>
      </c>
      <c r="E32" s="248" t="s">
        <v>452</v>
      </c>
      <c r="F32" s="248" t="s">
        <v>452</v>
      </c>
      <c r="G32" s="248" t="s">
        <v>452</v>
      </c>
      <c r="H32" s="247" t="s">
        <v>452</v>
      </c>
      <c r="I32" s="246" t="s">
        <v>451</v>
      </c>
    </row>
    <row r="33" spans="2:9" x14ac:dyDescent="0.2">
      <c r="B33" s="221">
        <v>8</v>
      </c>
      <c r="C33" s="249" t="s">
        <v>75</v>
      </c>
      <c r="D33" s="248"/>
      <c r="E33" s="248"/>
      <c r="F33" s="248"/>
      <c r="G33" s="248"/>
      <c r="H33" s="247"/>
      <c r="I33" s="246" t="s">
        <v>450</v>
      </c>
    </row>
    <row r="34" spans="2:9" x14ac:dyDescent="0.2">
      <c r="B34" s="221">
        <v>9</v>
      </c>
      <c r="C34" s="249" t="s">
        <v>78</v>
      </c>
      <c r="D34" s="248"/>
      <c r="E34" s="248"/>
      <c r="F34" s="248"/>
      <c r="G34" s="248"/>
      <c r="H34" s="247"/>
      <c r="I34" s="246" t="s">
        <v>160</v>
      </c>
    </row>
    <row r="35" spans="2:9" x14ac:dyDescent="0.2">
      <c r="B35" s="221">
        <v>10</v>
      </c>
      <c r="C35" s="249" t="s">
        <v>449</v>
      </c>
      <c r="D35" s="248">
        <v>0</v>
      </c>
      <c r="E35" s="248">
        <v>0</v>
      </c>
      <c r="F35" s="248">
        <v>0</v>
      </c>
      <c r="G35" s="248">
        <v>0</v>
      </c>
      <c r="H35" s="247">
        <v>0</v>
      </c>
      <c r="I35" s="246" t="s">
        <v>448</v>
      </c>
    </row>
    <row r="36" spans="2:9" x14ac:dyDescent="0.2">
      <c r="B36" s="221">
        <v>11</v>
      </c>
      <c r="C36" s="249" t="s">
        <v>447</v>
      </c>
      <c r="D36" s="248">
        <v>0</v>
      </c>
      <c r="E36" s="248">
        <v>0</v>
      </c>
      <c r="F36" s="248">
        <v>0</v>
      </c>
      <c r="G36" s="248">
        <v>0</v>
      </c>
      <c r="H36" s="247">
        <v>0</v>
      </c>
      <c r="I36" s="246" t="s">
        <v>446</v>
      </c>
    </row>
    <row r="37" spans="2:9" x14ac:dyDescent="0.2">
      <c r="B37" s="221">
        <v>12</v>
      </c>
      <c r="C37" s="249" t="s">
        <v>83</v>
      </c>
      <c r="D37" s="248" t="s">
        <v>445</v>
      </c>
      <c r="E37" s="248" t="s">
        <v>445</v>
      </c>
      <c r="F37" s="248" t="s">
        <v>445</v>
      </c>
      <c r="G37" s="248" t="s">
        <v>445</v>
      </c>
      <c r="H37" s="247" t="s">
        <v>445</v>
      </c>
      <c r="I37" s="246" t="s">
        <v>444</v>
      </c>
    </row>
    <row r="38" spans="2:9" x14ac:dyDescent="0.2">
      <c r="B38" s="221">
        <v>13</v>
      </c>
      <c r="C38" s="245" t="s">
        <v>84</v>
      </c>
      <c r="D38" s="244" t="s">
        <v>443</v>
      </c>
      <c r="E38" s="244" t="s">
        <v>442</v>
      </c>
      <c r="F38" s="244" t="s">
        <v>441</v>
      </c>
      <c r="G38" s="244" t="s">
        <v>440</v>
      </c>
      <c r="H38" s="243" t="s">
        <v>439</v>
      </c>
      <c r="I38" s="242" t="s">
        <v>438</v>
      </c>
    </row>
    <row r="39" spans="2:9" ht="16" customHeight="1" x14ac:dyDescent="0.2">
      <c r="B39" s="238">
        <v>14</v>
      </c>
      <c r="C39" s="241" t="s">
        <v>437</v>
      </c>
      <c r="D39" s="240"/>
      <c r="E39" s="240"/>
      <c r="F39" s="240"/>
      <c r="G39" s="240"/>
      <c r="H39" s="239"/>
      <c r="I39" s="358" t="s">
        <v>436</v>
      </c>
    </row>
    <row r="40" spans="2:9" ht="30" customHeight="1" x14ac:dyDescent="0.2">
      <c r="B40" s="238">
        <v>15</v>
      </c>
      <c r="C40" s="237" t="s">
        <v>435</v>
      </c>
      <c r="D40" s="236"/>
      <c r="E40" s="236"/>
      <c r="F40" s="236"/>
      <c r="G40" s="236"/>
      <c r="H40" s="235"/>
      <c r="I40" s="359"/>
    </row>
    <row r="41" spans="2:9" ht="48" x14ac:dyDescent="0.2">
      <c r="B41" s="221">
        <v>16</v>
      </c>
      <c r="C41" s="234" t="s">
        <v>154</v>
      </c>
      <c r="D41" s="233"/>
      <c r="E41" s="233"/>
      <c r="F41" s="233"/>
      <c r="G41" s="233"/>
      <c r="H41" s="232"/>
      <c r="I41" s="231" t="s">
        <v>434</v>
      </c>
    </row>
    <row r="42" spans="2:9" x14ac:dyDescent="0.2">
      <c r="B42" s="221">
        <v>17</v>
      </c>
      <c r="C42" s="230" t="s">
        <v>156</v>
      </c>
      <c r="D42" s="229"/>
      <c r="E42" s="229"/>
      <c r="F42" s="229"/>
      <c r="G42" s="229"/>
      <c r="H42" s="228"/>
      <c r="I42" s="227" t="s">
        <v>433</v>
      </c>
    </row>
    <row r="44" spans="2:9" ht="13" x14ac:dyDescent="0.2">
      <c r="C44" s="225"/>
      <c r="D44" s="226"/>
      <c r="E44" s="225"/>
      <c r="F44" s="225"/>
    </row>
    <row r="45" spans="2:9" ht="13" x14ac:dyDescent="0.2">
      <c r="C45" s="225"/>
      <c r="D45" s="226"/>
      <c r="E45" s="225"/>
      <c r="F45" s="225"/>
    </row>
    <row r="46" spans="2:9" ht="13" x14ac:dyDescent="0.2">
      <c r="C46" s="225"/>
      <c r="D46" s="224"/>
      <c r="E46" s="224"/>
      <c r="F46" s="224"/>
    </row>
    <row r="47" spans="2:9" x14ac:dyDescent="0.2">
      <c r="D47" s="223"/>
      <c r="E47" s="223"/>
      <c r="F47" s="223"/>
    </row>
  </sheetData>
  <mergeCells count="1">
    <mergeCell ref="I39:I40"/>
  </mergeCells>
  <phoneticPr fontId="3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5CDF8-72EA-4009-8501-2346E7D0BA1E}">
  <sheetPr codeName="Sheet11"/>
  <dimension ref="B1:K25"/>
  <sheetViews>
    <sheetView workbookViewId="0">
      <selection activeCell="L14" sqref="L14"/>
    </sheetView>
  </sheetViews>
  <sheetFormatPr defaultRowHeight="13" x14ac:dyDescent="0.2"/>
  <cols>
    <col min="1" max="1" width="3.08984375" customWidth="1"/>
    <col min="2" max="2" width="6.08984375" customWidth="1"/>
    <col min="3" max="3" width="9" customWidth="1"/>
    <col min="11" max="11" width="8.54296875" customWidth="1"/>
  </cols>
  <sheetData>
    <row r="1" spans="2:11" ht="13.5" thickBot="1" x14ac:dyDescent="0.25">
      <c r="G1" s="284" t="s">
        <v>485</v>
      </c>
    </row>
    <row r="2" spans="2:11" ht="13.5" thickBot="1" x14ac:dyDescent="0.25">
      <c r="B2" s="282"/>
      <c r="C2" s="107" t="s">
        <v>483</v>
      </c>
      <c r="G2" s="284" t="s">
        <v>486</v>
      </c>
      <c r="J2" s="107" t="s">
        <v>480</v>
      </c>
      <c r="K2" s="283">
        <v>0.375</v>
      </c>
    </row>
    <row r="3" spans="2:11" ht="13.5" thickBot="1" x14ac:dyDescent="0.25">
      <c r="B3" s="107">
        <v>100</v>
      </c>
      <c r="C3" s="107" t="s">
        <v>482</v>
      </c>
      <c r="G3" s="284" t="s">
        <v>487</v>
      </c>
      <c r="J3" s="107" t="s">
        <v>481</v>
      </c>
      <c r="K3" s="283">
        <v>0.625</v>
      </c>
    </row>
    <row r="4" spans="2:11" ht="13.5" thickBot="1" x14ac:dyDescent="0.25">
      <c r="G4" s="284" t="s">
        <v>488</v>
      </c>
      <c r="J4" s="107" t="s">
        <v>504</v>
      </c>
      <c r="K4" s="283">
        <v>3.4722222222222222E-5</v>
      </c>
    </row>
    <row r="5" spans="2:11" x14ac:dyDescent="0.2">
      <c r="B5" t="s">
        <v>484</v>
      </c>
      <c r="G5" s="284" t="s">
        <v>489</v>
      </c>
    </row>
    <row r="6" spans="2:11" x14ac:dyDescent="0.2">
      <c r="G6" s="284" t="s">
        <v>490</v>
      </c>
    </row>
    <row r="7" spans="2:11" x14ac:dyDescent="0.2">
      <c r="G7" s="284" t="s">
        <v>491</v>
      </c>
    </row>
    <row r="8" spans="2:11" ht="13.5" thickBot="1" x14ac:dyDescent="0.25">
      <c r="G8" s="284" t="s">
        <v>492</v>
      </c>
    </row>
    <row r="9" spans="2:11" ht="13.5" thickBot="1" x14ac:dyDescent="0.25">
      <c r="G9" s="284" t="s">
        <v>493</v>
      </c>
      <c r="I9" s="285" t="s">
        <v>505</v>
      </c>
      <c r="J9" s="286"/>
      <c r="K9" s="283">
        <v>5.7870370370370366E-5</v>
      </c>
    </row>
    <row r="10" spans="2:11" x14ac:dyDescent="0.2">
      <c r="G10" s="284" t="s">
        <v>494</v>
      </c>
    </row>
    <row r="11" spans="2:11" x14ac:dyDescent="0.2">
      <c r="G11" s="284" t="s">
        <v>495</v>
      </c>
    </row>
    <row r="12" spans="2:11" x14ac:dyDescent="0.2">
      <c r="G12" s="284" t="s">
        <v>496</v>
      </c>
    </row>
    <row r="13" spans="2:11" x14ac:dyDescent="0.2">
      <c r="G13" s="284" t="s">
        <v>497</v>
      </c>
    </row>
    <row r="14" spans="2:11" x14ac:dyDescent="0.2">
      <c r="G14" s="284" t="s">
        <v>498</v>
      </c>
    </row>
    <row r="15" spans="2:11" x14ac:dyDescent="0.2">
      <c r="G15" s="284" t="s">
        <v>499</v>
      </c>
    </row>
    <row r="16" spans="2:11" x14ac:dyDescent="0.2">
      <c r="G16" s="284" t="s">
        <v>500</v>
      </c>
    </row>
    <row r="17" spans="7:7" x14ac:dyDescent="0.2">
      <c r="G17" s="284" t="s">
        <v>495</v>
      </c>
    </row>
    <row r="18" spans="7:7" x14ac:dyDescent="0.2">
      <c r="G18" s="284" t="s">
        <v>501</v>
      </c>
    </row>
    <row r="19" spans="7:7" x14ac:dyDescent="0.2">
      <c r="G19" s="284" t="s">
        <v>502</v>
      </c>
    </row>
    <row r="20" spans="7:7" x14ac:dyDescent="0.2">
      <c r="G20" s="284" t="s">
        <v>503</v>
      </c>
    </row>
    <row r="21" spans="7:7" x14ac:dyDescent="0.2">
      <c r="G21" s="284"/>
    </row>
    <row r="22" spans="7:7" x14ac:dyDescent="0.2">
      <c r="G22" s="284"/>
    </row>
    <row r="23" spans="7:7" x14ac:dyDescent="0.2">
      <c r="G23" s="284"/>
    </row>
    <row r="24" spans="7:7" x14ac:dyDescent="0.2">
      <c r="G24" s="284"/>
    </row>
    <row r="25" spans="7:7" x14ac:dyDescent="0.2">
      <c r="G25" s="284"/>
    </row>
  </sheetData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ランニングファイルメイン">
                <anchor moveWithCells="1" sizeWithCells="1">
                  <from>
                    <xdr:col>3</xdr:col>
                    <xdr:colOff>50800</xdr:colOff>
                    <xdr:row>1</xdr:row>
                    <xdr:rowOff>19050</xdr:rowOff>
                  </from>
                  <to>
                    <xdr:col>5</xdr:col>
                    <xdr:colOff>146050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Button 2">
              <controlPr defaultSize="0" print="0" autoFill="0" autoPict="0" macro="[0]!ボタン2_Click">
                <anchor moveWithCells="1" sizeWithCells="1">
                  <from>
                    <xdr:col>7</xdr:col>
                    <xdr:colOff>0</xdr:colOff>
                    <xdr:row>0</xdr:row>
                    <xdr:rowOff>165100</xdr:rowOff>
                  </from>
                  <to>
                    <xdr:col>8</xdr:col>
                    <xdr:colOff>520700</xdr:colOff>
                    <xdr:row>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5" name="Button 4">
              <controlPr defaultSize="0" print="0" autoFill="0" autoPict="0" macro="[0]!Endprog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520700</xdr:colOff>
                    <xdr:row>7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6" name="Button 5">
              <controlPr defaultSize="0" print="0" autoFill="0" autoPict="0" macro="[0]!Endprog">
                <anchor moveWithCells="1" sizeWithCells="1">
                  <from>
                    <xdr:col>11</xdr:col>
                    <xdr:colOff>69850</xdr:colOff>
                    <xdr:row>0</xdr:row>
                    <xdr:rowOff>158750</xdr:rowOff>
                  </from>
                  <to>
                    <xdr:col>12</xdr:col>
                    <xdr:colOff>590550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0000"/>
  </sheetPr>
  <dimension ref="A1"/>
  <sheetViews>
    <sheetView topLeftCell="A10" zoomScaleNormal="100" workbookViewId="0">
      <selection activeCell="I110" sqref="I110"/>
    </sheetView>
  </sheetViews>
  <sheetFormatPr defaultColWidth="9" defaultRowHeight="13" x14ac:dyDescent="0.2"/>
  <cols>
    <col min="1" max="16384" width="9" style="185"/>
  </cols>
  <sheetData/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クォート</vt:lpstr>
      <vt:lpstr>板</vt:lpstr>
      <vt:lpstr>四本値</vt:lpstr>
      <vt:lpstr>歩み値</vt:lpstr>
      <vt:lpstr>注文照会</vt:lpstr>
      <vt:lpstr>約定一覧</vt:lpstr>
      <vt:lpstr>保有(手動)</vt:lpstr>
      <vt:lpstr>注文管理画面</vt:lpstr>
      <vt:lpstr>注文</vt:lpstr>
      <vt:lpstr>trailorder</vt:lpstr>
      <vt:lpstr>買実行</vt:lpstr>
      <vt:lpstr>確認画面省略機能のご利用について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2009-02-12T05:28:28Z</cp:lastPrinted>
  <dcterms:created xsi:type="dcterms:W3CDTF">2009-02-12T03:12:29Z</dcterms:created>
  <dcterms:modified xsi:type="dcterms:W3CDTF">2023-04-02T11:15:56Z</dcterms:modified>
</cp:coreProperties>
</file>