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/>
  <xr:revisionPtr revIDLastSave="0" documentId="13_ncr:1_{C62E7A06-8218-4191-B71B-84AA24702F4B}" xr6:coauthVersionLast="43" xr6:coauthVersionMax="43" xr10:uidLastSave="{00000000-0000-0000-0000-000000000000}"/>
  <bookViews>
    <workbookView xWindow="5235" yWindow="2325" windowWidth="25815" windowHeight="23565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8" i="1" l="1"/>
  <c r="B100" i="1"/>
  <c r="B92" i="1"/>
  <c r="B84" i="1"/>
  <c r="B76" i="1"/>
  <c r="B68" i="1"/>
  <c r="B60" i="1"/>
  <c r="B52" i="1"/>
  <c r="B44" i="1"/>
  <c r="B36" i="1"/>
  <c r="B28" i="1"/>
  <c r="B20" i="1"/>
  <c r="B12" i="1"/>
  <c r="B4" i="1"/>
  <c r="B65" i="1"/>
  <c r="B33" i="1"/>
  <c r="B8" i="1"/>
  <c r="B78" i="1"/>
  <c r="B22" i="1"/>
  <c r="B77" i="1"/>
  <c r="B5" i="1"/>
  <c r="B107" i="1"/>
  <c r="B99" i="1"/>
  <c r="B91" i="1"/>
  <c r="B83" i="1"/>
  <c r="B75" i="1"/>
  <c r="B67" i="1"/>
  <c r="B59" i="1"/>
  <c r="B51" i="1"/>
  <c r="B43" i="1"/>
  <c r="B35" i="1"/>
  <c r="B27" i="1"/>
  <c r="B19" i="1"/>
  <c r="B11" i="1"/>
  <c r="B3" i="1"/>
  <c r="B81" i="1"/>
  <c r="B41" i="1"/>
  <c r="B9" i="1"/>
  <c r="B7" i="1"/>
  <c r="B62" i="1"/>
  <c r="B101" i="1"/>
  <c r="B37" i="1"/>
  <c r="B106" i="1"/>
  <c r="B98" i="1"/>
  <c r="B90" i="1"/>
  <c r="B82" i="1"/>
  <c r="B74" i="1"/>
  <c r="B66" i="1"/>
  <c r="B58" i="1"/>
  <c r="B50" i="1"/>
  <c r="B42" i="1"/>
  <c r="B34" i="1"/>
  <c r="B26" i="1"/>
  <c r="B18" i="1"/>
  <c r="B10" i="1"/>
  <c r="B2" i="1"/>
  <c r="B57" i="1"/>
  <c r="B17" i="1"/>
  <c r="B86" i="1"/>
  <c r="B14" i="1"/>
  <c r="B53" i="1"/>
  <c r="B105" i="1"/>
  <c r="B97" i="1"/>
  <c r="B89" i="1"/>
  <c r="B73" i="1"/>
  <c r="B49" i="1"/>
  <c r="B25" i="1"/>
  <c r="B15" i="1"/>
  <c r="B54" i="1"/>
  <c r="B6" i="1"/>
  <c r="B61" i="1"/>
  <c r="B29" i="1"/>
  <c r="B104" i="1"/>
  <c r="B96" i="1"/>
  <c r="B88" i="1"/>
  <c r="B80" i="1"/>
  <c r="B72" i="1"/>
  <c r="B64" i="1"/>
  <c r="B56" i="1"/>
  <c r="B48" i="1"/>
  <c r="B40" i="1"/>
  <c r="B32" i="1"/>
  <c r="B24" i="1"/>
  <c r="B16" i="1"/>
  <c r="B23" i="1"/>
  <c r="B70" i="1"/>
  <c r="B30" i="1"/>
  <c r="B69" i="1"/>
  <c r="B13" i="1"/>
  <c r="B103" i="1"/>
  <c r="B95" i="1"/>
  <c r="B87" i="1"/>
  <c r="B79" i="1"/>
  <c r="B71" i="1"/>
  <c r="B63" i="1"/>
  <c r="B55" i="1"/>
  <c r="B47" i="1"/>
  <c r="B39" i="1"/>
  <c r="B31" i="1"/>
  <c r="B94" i="1"/>
  <c r="B38" i="1"/>
  <c r="B85" i="1"/>
  <c r="B45" i="1"/>
  <c r="B102" i="1"/>
  <c r="B46" i="1"/>
  <c r="B93" i="1"/>
  <c r="B21" i="1"/>
</calcChain>
</file>

<file path=xl/sharedStrings.xml><?xml version="1.0" encoding="utf-8"?>
<sst xmlns="http://schemas.openxmlformats.org/spreadsheetml/2006/main" count="109" uniqueCount="109">
  <si>
    <t>銘柄コード</t>
  </si>
  <si>
    <t>銘柄名</t>
  </si>
  <si>
    <t>業種名称</t>
  </si>
  <si>
    <t>市場</t>
  </si>
  <si>
    <t>上場市場</t>
  </si>
  <si>
    <t>現在値</t>
  </si>
  <si>
    <t>VWAP</t>
  </si>
  <si>
    <t>前日終値</t>
  </si>
  <si>
    <t>前日比</t>
  </si>
  <si>
    <t>前日比率</t>
  </si>
  <si>
    <t>前回比</t>
  </si>
  <si>
    <t>現在値上昇下落区分</t>
  </si>
  <si>
    <t>現在値フラグ</t>
  </si>
  <si>
    <t>現在値日付</t>
  </si>
  <si>
    <t>現在値時刻</t>
  </si>
  <si>
    <t>買気配値</t>
  </si>
  <si>
    <t>買気配種別</t>
  </si>
  <si>
    <t>買気配数量</t>
  </si>
  <si>
    <t>売気配値</t>
  </si>
  <si>
    <t>売気配種別</t>
  </si>
  <si>
    <t>売気配数量</t>
  </si>
  <si>
    <t>売約定数</t>
  </si>
  <si>
    <t>買約定数</t>
  </si>
  <si>
    <t>買付強度</t>
  </si>
  <si>
    <t>始値</t>
  </si>
  <si>
    <t>始値時刻</t>
  </si>
  <si>
    <t>高値</t>
  </si>
  <si>
    <t>高値時刻</t>
  </si>
  <si>
    <t>安値</t>
  </si>
  <si>
    <t>安値時刻</t>
  </si>
  <si>
    <t>値幅上限</t>
  </si>
  <si>
    <t>値幅下限</t>
  </si>
  <si>
    <t>基準値</t>
  </si>
  <si>
    <t>売買代金</t>
  </si>
  <si>
    <t>出来高</t>
  </si>
  <si>
    <t>売買単位</t>
  </si>
  <si>
    <t>信用貸借区分</t>
  </si>
  <si>
    <t>前場始値</t>
  </si>
  <si>
    <t>前場始値時間</t>
  </si>
  <si>
    <t>前場高値</t>
  </si>
  <si>
    <t>前場高値時間</t>
  </si>
  <si>
    <t>前場安値</t>
  </si>
  <si>
    <t>前場安値時間</t>
  </si>
  <si>
    <t>前場終値</t>
  </si>
  <si>
    <t>前場終値時間</t>
  </si>
  <si>
    <t>後場始値</t>
  </si>
  <si>
    <t>後場始値時間</t>
  </si>
  <si>
    <t>後場高値</t>
  </si>
  <si>
    <t>後場高値時間</t>
  </si>
  <si>
    <t>後場安値</t>
  </si>
  <si>
    <t>後場安値時間</t>
  </si>
  <si>
    <t>後場終値</t>
  </si>
  <si>
    <t>後場終値時間</t>
  </si>
  <si>
    <t>翌日基準値</t>
  </si>
  <si>
    <t>PBR</t>
  </si>
  <si>
    <t>PER</t>
  </si>
  <si>
    <t>EPS</t>
  </si>
  <si>
    <t>決算日</t>
  </si>
  <si>
    <t>配当落日</t>
  </si>
  <si>
    <t>配当</t>
  </si>
  <si>
    <t>発行済株式数</t>
  </si>
  <si>
    <t>時価総額</t>
  </si>
  <si>
    <t>年初来高値</t>
  </si>
  <si>
    <t>年初来高値日付</t>
  </si>
  <si>
    <t>年初来安値</t>
  </si>
  <si>
    <t>年初来安値日付</t>
  </si>
  <si>
    <t>5年来高値</t>
  </si>
  <si>
    <t>5年来高値日付</t>
  </si>
  <si>
    <t>5年来安値</t>
  </si>
  <si>
    <t>5年来安値日付</t>
  </si>
  <si>
    <t>逆日歩</t>
  </si>
  <si>
    <t>日歩日数</t>
  </si>
  <si>
    <t>信用売残</t>
  </si>
  <si>
    <t>信用買残</t>
  </si>
  <si>
    <t>信用売残前週比</t>
  </si>
  <si>
    <t>信用買残前週比</t>
  </si>
  <si>
    <t>一般信用残更新日付</t>
  </si>
  <si>
    <t>一般信用買残</t>
  </si>
  <si>
    <t>一般信用売残</t>
  </si>
  <si>
    <t>制度信用残更新日付</t>
  </si>
  <si>
    <t>制度信用買残</t>
  </si>
  <si>
    <t>制度信用売残</t>
  </si>
  <si>
    <t>証金名称</t>
  </si>
  <si>
    <t>速報日付</t>
  </si>
  <si>
    <t>貸株新規</t>
  </si>
  <si>
    <t>貸株返済</t>
  </si>
  <si>
    <t>貸株残高</t>
  </si>
  <si>
    <t>貸株前日比</t>
  </si>
  <si>
    <t>融資新規</t>
  </si>
  <si>
    <t>融資返済</t>
  </si>
  <si>
    <t>融資残高</t>
  </si>
  <si>
    <t>融資前日比</t>
  </si>
  <si>
    <t>差引新規</t>
  </si>
  <si>
    <t>差引返済</t>
  </si>
  <si>
    <t>差引残高</t>
  </si>
  <si>
    <t>差引前日比</t>
  </si>
  <si>
    <t>回転日数</t>
  </si>
  <si>
    <t>貸借倍率</t>
  </si>
  <si>
    <t>貸借値段</t>
  </si>
  <si>
    <t>信用倍率(倍)</t>
  </si>
  <si>
    <t>対日経平均60日ベータ</t>
  </si>
  <si>
    <t>対日経平均52週ベータ</t>
  </si>
  <si>
    <t>対TOPIX60日ベータ</t>
  </si>
  <si>
    <t>対TOPIX52週ベータ</t>
  </si>
  <si>
    <t>HV</t>
  </si>
  <si>
    <t>約定数量</t>
  </si>
  <si>
    <t>空売り規制状態</t>
  </si>
  <si>
    <t>項目</t>
    <rPh sb="0" eb="2">
      <t>コウモク</t>
    </rPh>
    <phoneticPr fontId="2"/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</si>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</sst>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0" fillId="0" borderId="0" xfId="0" applyAlignment="1">
      <alignment horizontal="right"/>
    </xf>
    <xf numFmtId="0" fontId="1" fillId="0" borderId="0" xfId="1">
      <alignment vertical="center"/>
    </xf>
    <xf numFmtId="0" fontId="0" fillId="0" borderId="0" xfId="0" applyAlignment="1">
      <alignment horizontal="left"/>
    </xf>
    <xf numFmtId="0" fontId="1" fillId="0" borderId="1" xfId="1" applyBorder="1">
      <alignment vertical="center"/>
    </xf>
    <xf numFmtId="0" fontId="0" fillId="0" borderId="1" xfId="0" applyBorder="1" applyAlignment="1">
      <alignment horizontal="right"/>
    </xf>
    <xf numFmtId="0" fontId="0" fillId="2" borderId="1" xfId="0" applyFill="1" applyBorder="1" applyAlignment="1">
      <alignment horizontal="left"/>
    </xf>
  </cellXfs>
  <cellStyles count="2">
    <cellStyle name="標準" xfId="0" builtinId="0"/>
    <cellStyle name="標準 3" xfId="1" xr:uid="{F51FBD27-9C86-4B1F-AFA4-51B8F8305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2019/04/16</v>
        <stp/>
        <stp>QUOTE</stp>
        <stp>9984</stp>
        <stp/>
        <stp>年初来高値日付</stp>
        <tr r="B65" s="1"/>
      </tp>
      <tp t="s">
        <v>2019/01/04</v>
        <stp/>
        <stp>QUOTE</stp>
        <stp>9984</stp>
        <stp/>
        <stp>年初来安値日付</stp>
        <tr r="B67" s="1"/>
      </tp>
      <tp>
        <v>11520</v>
        <stp/>
        <stp>QUOTE</stp>
        <stp>9984</stp>
        <stp/>
        <stp>前場安値</stp>
        <tr r="B43" s="1"/>
      </tp>
      <tp>
        <v>11470</v>
        <stp/>
        <stp>QUOTE</stp>
        <stp>9984</stp>
        <stp/>
        <stp>後場安値</stp>
        <tr r="B51" s="1"/>
      </tp>
    </main>
    <main first="oson2.rtdserver">
      <tp t="s">
        <v>0</v>
        <stp/>
        <stp>QUOTE</stp>
        <stp>9984</stp>
        <stp/>
        <stp>空売り規制状態</stp>
        <tr r="B108" s="1"/>
      </tp>
      <tp>
        <v>11560</v>
        <stp/>
        <stp>QUOTE</stp>
        <stp>9984</stp>
        <stp/>
        <stp>前場始値</stp>
        <tr r="B39" s="1"/>
      </tp>
      <tp>
        <v>11560</v>
        <stp/>
        <stp>QUOTE</stp>
        <stp>9984</stp>
        <stp/>
        <stp>後場始値</stp>
        <tr r="B47" s="1"/>
      </tp>
      <tp>
        <v>3605100</v>
        <stp/>
        <stp>QUOTE</stp>
        <stp>9984</stp>
        <stp/>
        <stp>制度信用売残</stp>
        <tr r="B83" s="1"/>
      </tp>
    </main>
    <main first="oson2.rtdserver">
      <tp t="s">
        <v>2.2</v>
        <stp/>
        <stp>QUOTE</stp>
        <stp>9984</stp>
        <stp/>
        <stp>逆日歩</stp>
        <tr r="B72" s="1"/>
      </tp>
      <tp t="s">
        <v>東証</v>
        <stp/>
        <stp>QUOTE</stp>
        <stp>9984</stp>
        <stp/>
        <stp>上場市場</stp>
        <tr r="B6" s="1"/>
      </tp>
    </main>
    <main first="oson2.rtdserver">
      <tp t="s">
        <v>-631,400</v>
        <stp/>
        <stp>QUOTE</stp>
        <stp>9984</stp>
        <stp/>
        <stp>差引残高</stp>
        <tr r="B96" s="1"/>
      </tp>
      <tp t="s">
        <v>↑</v>
        <stp/>
        <stp>QUOTE</stp>
        <stp>9984</stp>
        <stp/>
        <stp>現在値上昇下落区分</stp>
        <tr r="B13" s="1"/>
      </tp>
      <tp t="s">
        <v>情報・通信業</v>
        <stp/>
        <stp>QUOTE</stp>
        <stp>9984</stp>
        <stp/>
        <stp>業種名称</stp>
        <tr r="B4" s="1"/>
      </tp>
      <tp t="s">
        <v>-44,700</v>
        <stp/>
        <stp>QUOTE</stp>
        <stp>9984</stp>
        <stp/>
        <stp>差引新規</stp>
        <tr r="B94" s="1"/>
      </tp>
    </main>
    <main first="oson2.rtdserver">
      <tp>
        <v>432500</v>
        <stp/>
        <stp>QUOTE</stp>
        <stp>9984</stp>
        <stp/>
        <stp>一般信用売残</stp>
        <tr r="B80" s="1"/>
      </tp>
      <tp>
        <v>4037600</v>
        <stp/>
        <stp>QUOTE</stp>
        <stp>9984</stp>
        <stp/>
        <stp>信用売残</stp>
        <tr r="B74" s="1"/>
      </tp>
      <tp t="s">
        <v>54,100</v>
        <stp/>
        <stp>QUOTE</stp>
        <stp>9984</stp>
        <stp/>
        <stp>貸株新規</stp>
        <tr r="B86" s="1"/>
      </tp>
      <tp t="s">
        <v>11550</v>
        <stp/>
        <stp>QUOTE</stp>
        <stp>9984</stp>
        <stp/>
        <stp>貸借値段</stp>
        <tr r="B100" s="1"/>
      </tp>
      <tp t="s">
        <v>0.3</v>
        <stp/>
        <stp>QUOTE</stp>
        <stp>9984</stp>
        <stp/>
        <stp>貸借倍率</stp>
        <tr r="B99" s="1"/>
      </tp>
      <tp t="s">
        <v>943.95:連結1803期(実績)</v>
        <stp/>
        <stp>QUOTE</stp>
        <stp>9984</stp>
        <stp/>
        <stp>EPS</stp>
        <tr r="B58" s="1"/>
      </tp>
      <tp t="s">
        <v>貸借・制度信用</v>
        <stp/>
        <stp>QUOTE</stp>
        <stp>9984</stp>
        <stp/>
        <stp>信用貸借区分</stp>
        <tr r="B38" s="1"/>
      </tp>
      <tp>
        <v>1100660355</v>
        <stp/>
        <stp>QUOTE</stp>
        <stp>9984</stp>
        <stp/>
        <stp>発行済株式数</stp>
        <tr r="B62" s="1"/>
      </tp>
      <tp t="s">
        <v>2.80</v>
        <stp/>
        <stp>QUOTE</stp>
        <stp>9984</stp>
        <stp/>
        <stp>HV</stp>
        <tr r="B106" s="1"/>
      </tp>
      <tp>
        <v>11560</v>
        <stp/>
        <stp>QUOTE</stp>
        <stp>9984</stp>
        <stp/>
        <stp>前場終値</stp>
        <tr r="B45" s="1"/>
      </tp>
      <tp>
        <v>11550</v>
        <stp/>
        <stp>QUOTE</stp>
        <stp>9984</stp>
        <stp/>
        <stp>後場終値</stp>
        <tr r="B53" s="1"/>
      </tp>
      <tp t="s">
        <v/>
        <stp/>
        <stp>QUOTE</stp>
        <stp>9984</stp>
        <stp/>
        <stp>売気配種別</stp>
        <tr r="B21" s="1"/>
      </tp>
      <tp t="s">
        <v/>
        <stp/>
        <stp>QUOTE</stp>
        <stp>9984</stp>
        <stp/>
        <stp>買気配種別</stp>
        <tr r="B18" s="1"/>
      </tp>
      <tp t="s">
        <v>79,500</v>
        <stp/>
        <stp>QUOTE</stp>
        <stp>9984</stp>
        <stp/>
        <stp>融資返済</stp>
        <tr r="B91" s="1"/>
      </tp>
    </main>
    <main first="oson2.rtdserver">
      <tp t="s">
        <v>09:00:00</v>
        <stp/>
        <stp>QUOTE</stp>
        <stp>9984</stp>
        <stp/>
        <stp>始値時刻</stp>
        <tr r="B27" s="1"/>
      </tp>
      <tp t="s">
        <v>12:59:21</v>
        <stp/>
        <stp>QUOTE</stp>
        <stp>9984</stp>
        <stp/>
        <stp>安値時刻</stp>
        <tr r="B31" s="1"/>
      </tp>
      <tp t="s">
        <v>09:09:34</v>
        <stp/>
        <stp>QUOTE</stp>
        <stp>9984</stp>
        <stp/>
        <stp>高値時刻</stp>
        <tr r="B29" s="1"/>
      </tp>
      <tp t="s">
        <v>906,900</v>
        <stp/>
        <stp>QUOTE</stp>
        <stp>9984</stp>
        <stp/>
        <stp>貸株残高</stp>
        <tr r="B88" s="1"/>
      </tp>
      <tp>
        <v>-28200</v>
        <stp/>
        <stp>QUOTE</stp>
        <stp>9984</stp>
        <stp/>
        <stp>信用売残前週比</stp>
        <tr r="B76" s="1"/>
      </tp>
      <tp>
        <v>-466400</v>
        <stp/>
        <stp>QUOTE</stp>
        <stp>9984</stp>
        <stp/>
        <stp>信用買残前週比</stp>
        <tr r="B77" s="1"/>
      </tp>
      <tp>
        <v>6867</v>
        <stp/>
        <stp>QUOTE</stp>
        <stp>9984</stp>
        <stp/>
        <stp>年初来安値</stp>
        <tr r="B66" s="1"/>
      </tp>
      <tp>
        <v>4133</v>
        <stp/>
        <stp>QUOTE</stp>
        <stp>9984</stp>
        <stp/>
        <stp>5年来安値</stp>
        <tr r="B70" s="1"/>
      </tp>
      <tp>
        <v>1353500</v>
        <stp/>
        <stp>QUOTE</stp>
        <stp>9984</stp>
        <stp/>
        <stp>売約定数</stp>
        <tr r="B23" s="1"/>
      </tp>
      <tp>
        <v>1794100</v>
        <stp/>
        <stp>QUOTE</stp>
        <stp>9984</stp>
        <stp/>
        <stp>買約定数</stp>
        <tr r="B24" s="1"/>
      </tp>
      <tp t="s">
        <v>09:09:34</v>
        <stp/>
        <stp>QUOTE</stp>
        <stp>9984</stp>
        <stp/>
        <stp>前場高値時間</stp>
        <tr r="B42" s="1"/>
      </tp>
      <tp t="s">
        <v>09:00:00</v>
        <stp/>
        <stp>QUOTE</stp>
        <stp>9984</stp>
        <stp/>
        <stp>前場始値時間</stp>
        <tr r="B40" s="1"/>
      </tp>
      <tp t="s">
        <v>09:27:27</v>
        <stp/>
        <stp>QUOTE</stp>
        <stp>9984</stp>
        <stp/>
        <stp>前場安値時間</stp>
        <tr r="B44" s="1"/>
      </tp>
      <tp t="s">
        <v>11:30:00</v>
        <stp/>
        <stp>QUOTE</stp>
        <stp>9984</stp>
        <stp/>
        <stp>前場終値時間</stp>
        <tr r="B46" s="1"/>
      </tp>
    </main>
    <main first="oson2.rtdserver">
      <tp t="s">
        <v>12.18:連結1803期(実績)</v>
        <stp/>
        <stp>QUOTE</stp>
        <stp>9984</stp>
        <stp/>
        <stp>PER</stp>
        <tr r="B57" s="1"/>
      </tp>
      <tp t="s">
        <v>2.44:連結1803期(実績)</v>
        <stp/>
        <stp>QUOTE</stp>
        <stp>9984</stp>
        <stp/>
        <stp>PBR</stp>
        <tr r="B56" s="1"/>
      </tp>
      <tp t="s">
        <v>11554.0939</v>
        <stp/>
        <stp>QUOTE</stp>
        <stp>9984</stp>
        <stp/>
        <stp>VWAP</stp>
        <tr r="B8" s="1"/>
      </tp>
      <tp t="s">
        <v>44,900</v>
        <stp/>
        <stp>QUOTE</stp>
        <stp>9984</stp>
        <stp/>
        <stp>貸株前日比</stp>
        <tr r="B89" s="1"/>
      </tp>
      <tp t="s">
        <v>-70,100</v>
        <stp/>
        <stp>QUOTE</stp>
        <stp>9984</stp>
        <stp/>
        <stp>融資前日比</stp>
        <tr r="B93" s="1"/>
      </tp>
      <tp>
        <v>200</v>
        <stp/>
        <stp>QUOTE</stp>
        <stp>9984</stp>
        <stp/>
        <stp>買気配数量</stp>
        <tr r="B19" s="1"/>
      </tp>
      <tp>
        <v>4000</v>
        <stp/>
        <stp>QUOTE</stp>
        <stp>9984</stp>
        <stp/>
        <stp>売気配数量</stp>
        <tr r="B22" s="1"/>
      </tp>
      <tp t="s">
        <v>-115,000</v>
        <stp/>
        <stp>QUOTE</stp>
        <stp>9984</stp>
        <stp/>
        <stp>差引前日比</stp>
        <tr r="B97" s="1"/>
      </tp>
      <tp t="s">
        <v>19-04-24速報</v>
        <stp/>
        <stp>QUOTE</stp>
        <stp>9984</stp>
        <stp/>
        <stp>速報日付</stp>
        <tr r="B85" s="1"/>
      </tp>
      <tp t="s">
        <v>12:30:00</v>
        <stp/>
        <stp>QUOTE</stp>
        <stp>9984</stp>
        <stp/>
        <stp>後場高値時間</stp>
        <tr r="B50" s="1"/>
      </tp>
      <tp t="s">
        <v>12:30:00</v>
        <stp/>
        <stp>QUOTE</stp>
        <stp>9984</stp>
        <stp/>
        <stp>後場始値時間</stp>
        <tr r="B48" s="1"/>
      </tp>
      <tp t="s">
        <v>12:59:21</v>
        <stp/>
        <stp>QUOTE</stp>
        <stp>9984</stp>
        <stp/>
        <stp>後場安値時間</stp>
        <tr r="B52" s="1"/>
      </tp>
      <tp t="s">
        <v>15:00:00</v>
        <stp/>
        <stp>QUOTE</stp>
        <stp>9984</stp>
        <stp/>
        <stp>後場終値時間</stp>
        <tr r="B54" s="1"/>
      </tp>
    </main>
    <main first="oson2.rtdserver">
      <tp t="s">
        <v>2019/04/16</v>
        <stp/>
        <stp>QUOTE</stp>
        <stp>9984</stp>
        <stp/>
        <stp>5年来高値日付</stp>
        <tr r="B69" s="1"/>
      </tp>
      <tp t="s">
        <v>2016/02/12</v>
        <stp/>
        <stp>QUOTE</stp>
        <stp>9984</stp>
        <stp/>
        <stp>5年来安値日付</stp>
        <tr r="B71" s="1"/>
      </tp>
    </main>
    <main first="oson2.rtdserver">
      <tp t="s">
        <v>45</v>
        <stp/>
        <stp>QUOTE</stp>
        <stp>9984</stp>
        <stp/>
        <stp>前日比</stp>
        <tr r="B10" s="1"/>
      </tp>
      <tp t="s">
        <v>19/04 3週</v>
        <stp/>
        <stp>QUOTE</stp>
        <stp>9984</stp>
        <stp/>
        <stp>一般信用残更新日付</stp>
        <tr r="B78" s="1"/>
      </tp>
      <tp t="s">
        <v>19/04 3週</v>
        <stp/>
        <stp>QUOTE</stp>
        <stp>9984</stp>
        <stp/>
        <stp>制度信用残更新日付</stp>
        <tr r="B81" s="1"/>
      </tp>
      <tp t="s">
        <v>2019/04/24</v>
        <stp/>
        <stp>QUOTE</stp>
        <stp>9984</stp>
        <stp/>
        <stp>現在値日付</stp>
        <tr r="B15" s="1"/>
      </tp>
      <tp t="s">
        <v>0.91</v>
        <stp/>
        <stp>QUOTE</stp>
        <stp>9984</stp>
        <stp/>
        <stp>対日経平均60日ベータ</stp>
        <tr r="B102" s="1"/>
      </tp>
      <tp t="s">
        <v>1.40</v>
        <stp/>
        <stp>QUOTE</stp>
        <stp>9984</stp>
        <stp/>
        <stp>対日経平均52週ベータ</stp>
        <tr r="B103" s="1"/>
      </tp>
      <tp t="s">
        <v>15:00:00</v>
        <stp/>
        <stp>QUOTE</stp>
        <stp>9984</stp>
        <stp/>
        <stp>現在値時刻</stp>
        <tr r="B16" s="1"/>
      </tp>
    </main>
    <main first="oson2.rtdserver">
      <tp>
        <v>11</v>
        <stp/>
        <stp>QUOTE</stp>
        <stp>9984</stp>
        <stp/>
        <stp>日歩日数</stp>
        <tr r="B73" s="1"/>
      </tp>
      <tp>
        <v>8550</v>
        <stp/>
        <stp>QUOTE</stp>
        <stp>9984</stp>
        <stp/>
        <stp>値幅下限</stp>
        <tr r="B33" s="1"/>
      </tp>
      <tp>
        <v>14550</v>
        <stp/>
        <stp>QUOTE</stp>
        <stp>9984</stp>
        <stp/>
        <stp>値幅上限</stp>
        <tr r="B32" s="1"/>
      </tp>
      <tp t="s">
        <v>03/31</v>
        <stp/>
        <stp>QUOTE</stp>
        <stp>9984</stp>
        <stp/>
        <stp>決算日</stp>
        <tr r="B59" s="1"/>
      </tp>
    </main>
    <main first="oson2.rtdserver">
      <tp t="s">
        <v>東証</v>
        <stp/>
        <stp>QUOTE</stp>
        <stp>9984</stp>
        <stp/>
        <stp>市場</stp>
        <tr r="B5" s="1"/>
      </tp>
      <tp>
        <v>5</v>
        <stp/>
        <stp>QUOTE</stp>
        <stp>9984</stp>
        <stp/>
        <stp>前回比</stp>
        <tr r="B12" s="1"/>
      </tp>
      <tp>
        <v>11560</v>
        <stp/>
        <stp>QUOTE</stp>
        <stp>9984</stp>
        <stp/>
        <stp>始値</stp>
        <tr r="B26" s="1"/>
      </tp>
      <tp>
        <v>11470</v>
        <stp/>
        <stp>QUOTE</stp>
        <stp>9984</stp>
        <stp/>
        <stp>安値</stp>
        <tr r="B30" s="1"/>
      </tp>
    </main>
    <main first="oson2.rtdserver">
      <tp>
        <v>11550</v>
        <stp/>
        <stp>QUOTE</stp>
        <stp>9984</stp>
        <stp/>
        <stp>翌日基準値</stp>
        <tr r="B55" s="1"/>
      </tp>
      <tp t="s">
        <v>0.71</v>
        <stp/>
        <stp>QUOTE</stp>
        <stp>9984</stp>
        <stp/>
        <stp>対TOPIX60日ベータ</stp>
        <tr r="B104" s="1"/>
      </tp>
      <tp t="s">
        <v>1.30</v>
        <stp/>
        <stp>QUOTE</stp>
        <stp>9984</stp>
        <stp/>
        <stp>対TOPIX52週ベータ</stp>
        <tr r="B105" s="1"/>
      </tp>
      <tp>
        <v>100</v>
        <stp/>
        <stp>QUOTE</stp>
        <stp>9984</stp>
        <stp/>
        <stp>売買単位</stp>
        <tr r="B37" s="1"/>
      </tp>
      <tp t="s">
        <v>0.93</v>
        <stp/>
        <stp>QUOTE</stp>
        <stp>9984</stp>
        <stp/>
        <stp>信用倍率(倍)</stp>
        <tr r="B101" s="1"/>
      </tp>
    </main>
    <main first="oson2.rtdserver">
      <tp>
        <v>488500</v>
        <stp/>
        <stp>QUOTE</stp>
        <stp>9984</stp>
        <stp/>
        <stp>約定数量</stp>
        <tr r="B107" s="1"/>
      </tp>
    </main>
    <main first="oson2.rtdserver">
      <tp t="s">
        <v>9984</v>
        <stp/>
        <stp>QUOTE</stp>
        <stp>9984</stp>
        <stp/>
        <stp>銘柄コード</stp>
        <tr r="B2" s="1"/>
      </tp>
    </main>
    <main first="oson2.rtdserver">
      <tp>
        <v>40810215</v>
        <stp/>
        <stp>QUOTE</stp>
        <stp>9984</stp>
        <stp/>
        <stp>売買代金</stp>
        <tr r="B35" s="1"/>
      </tp>
    </main>
    <main first="oson2.rtdserver">
      <tp t="s">
        <v>ソフトバンクグループ</v>
        <stp/>
        <stp>QUOTE</stp>
        <stp>9984</stp>
        <stp/>
        <stp>銘柄名</stp>
        <tr r="B3" s="1"/>
      </tp>
    </main>
    <main first="oson2.rtdserver">
      <tp>
        <v>12663097</v>
        <stp/>
        <stp>QUOTE</stp>
        <stp>9984</stp>
        <stp/>
        <stp>時価総額</stp>
        <tr r="B63" s="1"/>
      </tp>
      <tp t="s">
        <v>44.0</v>
        <stp/>
        <stp>QUOTE</stp>
        <stp>9984</stp>
        <stp/>
        <stp>配当</stp>
        <tr r="B61" s="1"/>
      </tp>
      <tp t="s">
        <v>C</v>
        <stp/>
        <stp>QUOTE</stp>
        <stp>9984</stp>
        <stp/>
        <stp>現在値フラグ</stp>
        <tr r="B14" s="1"/>
      </tp>
      <tp t="s">
        <v>2019/03/27:2018/09/26</v>
        <stp/>
        <stp>QUOTE</stp>
        <stp>9984</stp>
        <stp/>
        <stp>配当落日</stp>
        <tr r="B60" s="1"/>
      </tp>
      <tp>
        <v>11650</v>
        <stp/>
        <stp>QUOTE</stp>
        <stp>9984</stp>
        <stp/>
        <stp>高値</stp>
        <tr r="B28" s="1"/>
      </tp>
      <tp>
        <v>11650</v>
        <stp/>
        <stp>QUOTE</stp>
        <stp>9984</stp>
        <stp/>
        <stp>前場高値</stp>
        <tr r="B41" s="1"/>
      </tp>
      <tp>
        <v>11570</v>
        <stp/>
        <stp>QUOTE</stp>
        <stp>9984</stp>
        <stp/>
        <stp>後場高値</stp>
        <tr r="B49" s="1"/>
      </tp>
    </main>
    <main first="oson2.rtdserver">
      <tp t="s">
        <v>275,500</v>
        <stp/>
        <stp>QUOTE</stp>
        <stp>9984</stp>
        <stp/>
        <stp>融資残高</stp>
        <tr r="B92" s="1"/>
      </tp>
    </main>
    <main first="oson2.rtdserver">
      <tp t="s">
        <v>9,200</v>
        <stp/>
        <stp>QUOTE</stp>
        <stp>9984</stp>
        <stp/>
        <stp>貸株返済</stp>
        <tr r="B87" s="1"/>
      </tp>
      <tp>
        <v>692200</v>
        <stp/>
        <stp>QUOTE</stp>
        <stp>9984</stp>
        <stp/>
        <stp>一般信用買残</stp>
        <tr r="B79" s="1"/>
      </tp>
    </main>
    <main first="oson2.rtdserver">
      <tp>
        <v>3786100</v>
        <stp/>
        <stp>QUOTE</stp>
        <stp>9984</stp>
        <stp/>
        <stp>信用買残</stp>
        <tr r="B75" s="1"/>
      </tp>
    </main>
    <main first="oson2.rtdserver">
      <tp t="s">
        <v>9,400</v>
        <stp/>
        <stp>QUOTE</stp>
        <stp>9984</stp>
        <stp/>
        <stp>融資新規</stp>
        <tr r="B90" s="1"/>
      </tp>
    </main>
    <main first="oson2.rtdserver">
      <tp>
        <v>11550</v>
        <stp/>
        <stp>QUOTE</stp>
        <stp>9984</stp>
        <stp/>
        <stp>現在値</stp>
        <tr r="B7" s="1"/>
      </tp>
    </main>
    <main first="oson2.rtdserver">
      <tp>
        <v>3093900</v>
        <stp/>
        <stp>QUOTE</stp>
        <stp>9984</stp>
        <stp/>
        <stp>制度信用買残</stp>
        <tr r="B82" s="1"/>
      </tp>
    </main>
    <main first="oson2.rtdserver">
      <tp t="s">
        <v>0.39%</v>
        <stp/>
        <stp>QUOTE</stp>
        <stp>9984</stp>
        <stp/>
        <stp>前日比率</stp>
        <tr r="B11" s="1"/>
      </tp>
    </main>
    <main first="oson2.rtdserver">
      <tp t="s">
        <v>57%</v>
        <stp/>
        <stp>QUOTE</stp>
        <stp>9984</stp>
        <stp/>
        <stp>買付強度</stp>
        <tr r="B25" s="1"/>
      </tp>
      <tp t="s">
        <v>13.0</v>
        <stp/>
        <stp>QUOTE</stp>
        <stp>9984</stp>
        <stp/>
        <stp>回転日数</stp>
        <tr r="B98" s="1"/>
      </tp>
      <tp>
        <v>11555</v>
        <stp/>
        <stp>QUOTE</stp>
        <stp>9984</stp>
        <stp/>
        <stp>売気配値</stp>
        <tr r="B20" s="1"/>
      </tp>
      <tp>
        <v>11540</v>
        <stp/>
        <stp>QUOTE</stp>
        <stp>9984</stp>
        <stp/>
        <stp>買気配値</stp>
        <tr r="B17" s="1"/>
      </tp>
      <tp t="s">
        <v>日証金</v>
        <stp/>
        <stp>QUOTE</stp>
        <stp>9984</stp>
        <stp/>
        <stp>証金名称</stp>
        <tr r="B84" s="1"/>
      </tp>
      <tp>
        <v>12090</v>
        <stp/>
        <stp>QUOTE</stp>
        <stp>9984</stp>
        <stp/>
        <stp>5年来高値</stp>
        <tr r="B68" s="1"/>
      </tp>
      <tp>
        <v>12090</v>
        <stp/>
        <stp>QUOTE</stp>
        <stp>9984</stp>
        <stp/>
        <stp>年初来高値</stp>
        <tr r="B64" s="1"/>
      </tp>
      <tp>
        <v>11550</v>
        <stp/>
        <stp>QUOTE</stp>
        <stp>9984</stp>
        <stp/>
        <stp>基準値</stp>
        <tr r="B34" s="1"/>
      </tp>
      <tp t="s">
        <v>70,300</v>
        <stp/>
        <stp>QUOTE</stp>
        <stp>9984</stp>
        <stp/>
        <stp>差引返済</stp>
        <tr r="B95" s="1"/>
      </tp>
      <tp>
        <v>11505</v>
        <stp/>
        <stp>QUOTE</stp>
        <stp>9984</stp>
        <stp/>
        <stp>前日終値</stp>
        <tr r="B9" s="1"/>
      </tp>
      <tp>
        <v>3532100</v>
        <stp/>
        <stp>QUOTE</stp>
        <stp>9984</stp>
        <stp/>
        <stp>出来高</stp>
        <tr r="B36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%20(x86)\Okasan%20Online%20Securities%20Co.,Ltd\&#23713;&#19977;RSS\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QE108"/>
  <sheetViews>
    <sheetView tabSelected="1" workbookViewId="0">
      <selection activeCell="D29" sqref="D29:D30"/>
    </sheetView>
  </sheetViews>
  <sheetFormatPr defaultRowHeight="18.75"/>
  <cols>
    <col min="1" max="1" width="23.75" style="3" bestFit="1" customWidth="1"/>
    <col min="2" max="3827" width="23.75" style="1" bestFit="1" customWidth="1"/>
  </cols>
  <sheetData>
    <row r="1" spans="1:3827">
      <c r="A1" s="6" t="s">
        <v>107</v>
      </c>
      <c r="B1" s="4">
        <v>9984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</row>
    <row r="2" spans="1:3827">
      <c r="A2" s="6" t="s">
        <v>0</v>
      </c>
      <c r="B2" s="5" t="str">
        <f>[1]!QUOTE(B1,"","銘柄コード")</f>
        <v>9984</v>
      </c>
      <c r="C2" s="1" t="s">
        <v>108</v>
      </c>
    </row>
    <row r="3" spans="1:3827">
      <c r="A3" s="6" t="s">
        <v>1</v>
      </c>
      <c r="B3" s="5" t="str">
        <f>[1]!QUOTE(B1,"","銘柄名")</f>
        <v>ソフトバンクグループ</v>
      </c>
    </row>
    <row r="4" spans="1:3827">
      <c r="A4" s="6" t="s">
        <v>2</v>
      </c>
      <c r="B4" s="5" t="str">
        <f>[1]!QUOTE(B1,"","業種名称")</f>
        <v>情報・通信業</v>
      </c>
    </row>
    <row r="5" spans="1:3827">
      <c r="A5" s="6" t="s">
        <v>3</v>
      </c>
      <c r="B5" s="5" t="str">
        <f>[1]!QUOTE(B1,"","市場")</f>
        <v>東証</v>
      </c>
    </row>
    <row r="6" spans="1:3827">
      <c r="A6" s="6" t="s">
        <v>4</v>
      </c>
      <c r="B6" s="5" t="str">
        <f>[1]!QUOTE(B1,"","上場市場")</f>
        <v>東証</v>
      </c>
    </row>
    <row r="7" spans="1:3827">
      <c r="A7" s="6" t="s">
        <v>5</v>
      </c>
      <c r="B7" s="5">
        <f>[1]!QUOTE(B1,"","現在値")</f>
        <v>11550</v>
      </c>
    </row>
    <row r="8" spans="1:3827">
      <c r="A8" s="6" t="s">
        <v>6</v>
      </c>
      <c r="B8" s="5" t="str">
        <f>[1]!QUOTE(B1,"","VWAP")</f>
        <v>11554.0939</v>
      </c>
    </row>
    <row r="9" spans="1:3827">
      <c r="A9" s="6" t="s">
        <v>7</v>
      </c>
      <c r="B9" s="5">
        <f>[1]!QUOTE(B1,"","前日終値")</f>
        <v>11505</v>
      </c>
    </row>
    <row r="10" spans="1:3827">
      <c r="A10" s="6" t="s">
        <v>8</v>
      </c>
      <c r="B10" s="5" t="str">
        <f>[1]!QUOTE(B1,"","前日比")</f>
        <v>45</v>
      </c>
    </row>
    <row r="11" spans="1:3827">
      <c r="A11" s="6" t="s">
        <v>9</v>
      </c>
      <c r="B11" s="5" t="str">
        <f>[1]!QUOTE(B1,"","前日比率")</f>
        <v>0.39%</v>
      </c>
    </row>
    <row r="12" spans="1:3827">
      <c r="A12" s="6" t="s">
        <v>10</v>
      </c>
      <c r="B12" s="5">
        <f>[1]!QUOTE(B1,"","前回比")</f>
        <v>5</v>
      </c>
    </row>
    <row r="13" spans="1:3827">
      <c r="A13" s="6" t="s">
        <v>11</v>
      </c>
      <c r="B13" s="5" t="str">
        <f>[1]!QUOTE(B1,"","現在値上昇下落区分")</f>
        <v>↑</v>
      </c>
    </row>
    <row r="14" spans="1:3827">
      <c r="A14" s="6" t="s">
        <v>12</v>
      </c>
      <c r="B14" s="5" t="str">
        <f>[1]!QUOTE(B1,"","現在値フラグ")</f>
        <v>C</v>
      </c>
    </row>
    <row r="15" spans="1:3827">
      <c r="A15" s="6" t="s">
        <v>13</v>
      </c>
      <c r="B15" s="5" t="str">
        <f>[1]!QUOTE(B1,"","現在値日付")</f>
        <v>2019/04/24</v>
      </c>
    </row>
    <row r="16" spans="1:3827">
      <c r="A16" s="6" t="s">
        <v>14</v>
      </c>
      <c r="B16" s="5" t="str">
        <f>[1]!QUOTE(B1,"","現在値時刻")</f>
        <v>15:00:00</v>
      </c>
    </row>
    <row r="17" spans="1:2">
      <c r="A17" s="6" t="s">
        <v>15</v>
      </c>
      <c r="B17" s="5">
        <f>[1]!QUOTE(B1,"","買気配値")</f>
        <v>11540</v>
      </c>
    </row>
    <row r="18" spans="1:2">
      <c r="A18" s="6" t="s">
        <v>16</v>
      </c>
      <c r="B18" s="5" t="str">
        <f>[1]!QUOTE(B1,"","買気配種別")</f>
        <v/>
      </c>
    </row>
    <row r="19" spans="1:2">
      <c r="A19" s="6" t="s">
        <v>17</v>
      </c>
      <c r="B19" s="5">
        <f>[1]!QUOTE(B1,"","買気配数量")</f>
        <v>200</v>
      </c>
    </row>
    <row r="20" spans="1:2">
      <c r="A20" s="6" t="s">
        <v>18</v>
      </c>
      <c r="B20" s="5">
        <f>[1]!QUOTE(B1,"","売気配値")</f>
        <v>11555</v>
      </c>
    </row>
    <row r="21" spans="1:2">
      <c r="A21" s="6" t="s">
        <v>19</v>
      </c>
      <c r="B21" s="5" t="str">
        <f>[1]!QUOTE(B1,"","売気配種別")</f>
        <v/>
      </c>
    </row>
    <row r="22" spans="1:2">
      <c r="A22" s="6" t="s">
        <v>20</v>
      </c>
      <c r="B22" s="5">
        <f>[1]!QUOTE(B1,"","売気配数量")</f>
        <v>4000</v>
      </c>
    </row>
    <row r="23" spans="1:2">
      <c r="A23" s="6" t="s">
        <v>21</v>
      </c>
      <c r="B23" s="5">
        <f>[1]!QUOTE(B1,"","売約定数")</f>
        <v>1353500</v>
      </c>
    </row>
    <row r="24" spans="1:2">
      <c r="A24" s="6" t="s">
        <v>22</v>
      </c>
      <c r="B24" s="5">
        <f>[1]!QUOTE(B1,"","買約定数")</f>
        <v>1794100</v>
      </c>
    </row>
    <row r="25" spans="1:2">
      <c r="A25" s="6" t="s">
        <v>23</v>
      </c>
      <c r="B25" s="5" t="str">
        <f>[1]!QUOTE(B1,"","買付強度")</f>
        <v>57%</v>
      </c>
    </row>
    <row r="26" spans="1:2">
      <c r="A26" s="6" t="s">
        <v>24</v>
      </c>
      <c r="B26" s="5">
        <f>[1]!QUOTE(B1,"","始値")</f>
        <v>11560</v>
      </c>
    </row>
    <row r="27" spans="1:2">
      <c r="A27" s="6" t="s">
        <v>25</v>
      </c>
      <c r="B27" s="5" t="str">
        <f>[1]!QUOTE(B1,"","始値時刻")</f>
        <v>09:00:00</v>
      </c>
    </row>
    <row r="28" spans="1:2">
      <c r="A28" s="6" t="s">
        <v>26</v>
      </c>
      <c r="B28" s="5">
        <f>[1]!QUOTE(B1,"","高値")</f>
        <v>11650</v>
      </c>
    </row>
    <row r="29" spans="1:2">
      <c r="A29" s="6" t="s">
        <v>27</v>
      </c>
      <c r="B29" s="5" t="str">
        <f>[1]!QUOTE(B1,"","高値時刻")</f>
        <v>09:09:34</v>
      </c>
    </row>
    <row r="30" spans="1:2">
      <c r="A30" s="6" t="s">
        <v>28</v>
      </c>
      <c r="B30" s="5">
        <f>[1]!QUOTE(B1,"","安値")</f>
        <v>11470</v>
      </c>
    </row>
    <row r="31" spans="1:2">
      <c r="A31" s="6" t="s">
        <v>29</v>
      </c>
      <c r="B31" s="5" t="str">
        <f>[1]!QUOTE(B1,"","安値時刻")</f>
        <v>12:59:21</v>
      </c>
    </row>
    <row r="32" spans="1:2">
      <c r="A32" s="6" t="s">
        <v>30</v>
      </c>
      <c r="B32" s="5">
        <f>[1]!QUOTE(B1,"","値幅上限")</f>
        <v>14550</v>
      </c>
    </row>
    <row r="33" spans="1:2">
      <c r="A33" s="6" t="s">
        <v>31</v>
      </c>
      <c r="B33" s="5">
        <f>[1]!QUOTE(B1,"","値幅下限")</f>
        <v>8550</v>
      </c>
    </row>
    <row r="34" spans="1:2">
      <c r="A34" s="6" t="s">
        <v>32</v>
      </c>
      <c r="B34" s="5">
        <f>[1]!QUOTE(B1,"","基準値")</f>
        <v>11550</v>
      </c>
    </row>
    <row r="35" spans="1:2">
      <c r="A35" s="6" t="s">
        <v>33</v>
      </c>
      <c r="B35" s="5">
        <f>[1]!QUOTE(B1,"","売買代金")</f>
        <v>40810215</v>
      </c>
    </row>
    <row r="36" spans="1:2">
      <c r="A36" s="6" t="s">
        <v>34</v>
      </c>
      <c r="B36" s="5">
        <f>[1]!QUOTE(B1,"","出来高")</f>
        <v>3532100</v>
      </c>
    </row>
    <row r="37" spans="1:2">
      <c r="A37" s="6" t="s">
        <v>35</v>
      </c>
      <c r="B37" s="5">
        <f>[1]!QUOTE(B1,"","売買単位")</f>
        <v>100</v>
      </c>
    </row>
    <row r="38" spans="1:2">
      <c r="A38" s="6" t="s">
        <v>36</v>
      </c>
      <c r="B38" s="5" t="str">
        <f>[1]!QUOTE(B1,"","信用貸借区分")</f>
        <v>貸借・制度信用</v>
      </c>
    </row>
    <row r="39" spans="1:2">
      <c r="A39" s="6" t="s">
        <v>37</v>
      </c>
      <c r="B39" s="5">
        <f>[1]!QUOTE(B1,"","前場始値")</f>
        <v>11560</v>
      </c>
    </row>
    <row r="40" spans="1:2">
      <c r="A40" s="6" t="s">
        <v>38</v>
      </c>
      <c r="B40" s="5" t="str">
        <f>[1]!QUOTE(B1,"","前場始値時間")</f>
        <v>09:00:00</v>
      </c>
    </row>
    <row r="41" spans="1:2">
      <c r="A41" s="6" t="s">
        <v>39</v>
      </c>
      <c r="B41" s="5">
        <f>[1]!QUOTE(B1,"","前場高値")</f>
        <v>11650</v>
      </c>
    </row>
    <row r="42" spans="1:2">
      <c r="A42" s="6" t="s">
        <v>40</v>
      </c>
      <c r="B42" s="5" t="str">
        <f>[1]!QUOTE(B1,"","前場高値時間")</f>
        <v>09:09:34</v>
      </c>
    </row>
    <row r="43" spans="1:2">
      <c r="A43" s="6" t="s">
        <v>41</v>
      </c>
      <c r="B43" s="5">
        <f>[1]!QUOTE(B1,"","前場安値")</f>
        <v>11520</v>
      </c>
    </row>
    <row r="44" spans="1:2">
      <c r="A44" s="6" t="s">
        <v>42</v>
      </c>
      <c r="B44" s="5" t="str">
        <f>[1]!QUOTE(B1,"","前場安値時間")</f>
        <v>09:27:27</v>
      </c>
    </row>
    <row r="45" spans="1:2">
      <c r="A45" s="6" t="s">
        <v>43</v>
      </c>
      <c r="B45" s="5">
        <f>[1]!QUOTE(B1,"","前場終値")</f>
        <v>11560</v>
      </c>
    </row>
    <row r="46" spans="1:2">
      <c r="A46" s="6" t="s">
        <v>44</v>
      </c>
      <c r="B46" s="5" t="str">
        <f>[1]!QUOTE(B1,"","前場終値時間")</f>
        <v>11:30:00</v>
      </c>
    </row>
    <row r="47" spans="1:2">
      <c r="A47" s="6" t="s">
        <v>45</v>
      </c>
      <c r="B47" s="5">
        <f>[1]!QUOTE(B1,"","後場始値")</f>
        <v>11560</v>
      </c>
    </row>
    <row r="48" spans="1:2">
      <c r="A48" s="6" t="s">
        <v>46</v>
      </c>
      <c r="B48" s="5" t="str">
        <f>[1]!QUOTE(B1,"","後場始値時間")</f>
        <v>12:30:00</v>
      </c>
    </row>
    <row r="49" spans="1:2">
      <c r="A49" s="6" t="s">
        <v>47</v>
      </c>
      <c r="B49" s="5">
        <f>[1]!QUOTE(B1,"","後場高値")</f>
        <v>11570</v>
      </c>
    </row>
    <row r="50" spans="1:2">
      <c r="A50" s="6" t="s">
        <v>48</v>
      </c>
      <c r="B50" s="5" t="str">
        <f>[1]!QUOTE(B1,"","後場高値時間")</f>
        <v>12:30:00</v>
      </c>
    </row>
    <row r="51" spans="1:2">
      <c r="A51" s="6" t="s">
        <v>49</v>
      </c>
      <c r="B51" s="5">
        <f>[1]!QUOTE(B1,"","後場安値")</f>
        <v>11470</v>
      </c>
    </row>
    <row r="52" spans="1:2">
      <c r="A52" s="6" t="s">
        <v>50</v>
      </c>
      <c r="B52" s="5" t="str">
        <f>[1]!QUOTE(B1,"","後場安値時間")</f>
        <v>12:59:21</v>
      </c>
    </row>
    <row r="53" spans="1:2">
      <c r="A53" s="6" t="s">
        <v>51</v>
      </c>
      <c r="B53" s="5">
        <f>[1]!QUOTE(B1,"","後場終値")</f>
        <v>11550</v>
      </c>
    </row>
    <row r="54" spans="1:2">
      <c r="A54" s="6" t="s">
        <v>52</v>
      </c>
      <c r="B54" s="5" t="str">
        <f>[1]!QUOTE(B1,"","後場終値時間")</f>
        <v>15:00:00</v>
      </c>
    </row>
    <row r="55" spans="1:2">
      <c r="A55" s="6" t="s">
        <v>53</v>
      </c>
      <c r="B55" s="5">
        <f>[1]!QUOTE(B1,"","翌日基準値")</f>
        <v>11550</v>
      </c>
    </row>
    <row r="56" spans="1:2">
      <c r="A56" s="6" t="s">
        <v>54</v>
      </c>
      <c r="B56" s="5" t="str">
        <f>[1]!QUOTE(B1,"","PBR")</f>
        <v>2.44:連結1803期(実績)</v>
      </c>
    </row>
    <row r="57" spans="1:2">
      <c r="A57" s="6" t="s">
        <v>55</v>
      </c>
      <c r="B57" s="5" t="str">
        <f>[1]!QUOTE(B1,"","PER")</f>
        <v>12.18:連結1803期(実績)</v>
      </c>
    </row>
    <row r="58" spans="1:2">
      <c r="A58" s="6" t="s">
        <v>56</v>
      </c>
      <c r="B58" s="5" t="str">
        <f>[1]!QUOTE(B1,"","EPS")</f>
        <v>943.95:連結1803期(実績)</v>
      </c>
    </row>
    <row r="59" spans="1:2">
      <c r="A59" s="6" t="s">
        <v>57</v>
      </c>
      <c r="B59" s="5" t="str">
        <f>[1]!QUOTE(B1,"","決算日")</f>
        <v>03/31</v>
      </c>
    </row>
    <row r="60" spans="1:2">
      <c r="A60" s="6" t="s">
        <v>58</v>
      </c>
      <c r="B60" s="5" t="str">
        <f>[1]!QUOTE(B1,"","配当落日")</f>
        <v>2019/03/27:2018/09/26</v>
      </c>
    </row>
    <row r="61" spans="1:2">
      <c r="A61" s="6" t="s">
        <v>59</v>
      </c>
      <c r="B61" s="5" t="str">
        <f>[1]!QUOTE(B1,"","配当")</f>
        <v>44.0</v>
      </c>
    </row>
    <row r="62" spans="1:2">
      <c r="A62" s="6" t="s">
        <v>60</v>
      </c>
      <c r="B62" s="5">
        <f>[1]!QUOTE(B1,"","発行済株式数")</f>
        <v>1100660355</v>
      </c>
    </row>
    <row r="63" spans="1:2">
      <c r="A63" s="6" t="s">
        <v>61</v>
      </c>
      <c r="B63" s="5">
        <f>[1]!QUOTE(B1,"","時価総額")</f>
        <v>12663097</v>
      </c>
    </row>
    <row r="64" spans="1:2">
      <c r="A64" s="6" t="s">
        <v>62</v>
      </c>
      <c r="B64" s="5">
        <f>[1]!QUOTE(B1,"","年初来高値")</f>
        <v>12090</v>
      </c>
    </row>
    <row r="65" spans="1:2">
      <c r="A65" s="6" t="s">
        <v>63</v>
      </c>
      <c r="B65" s="5" t="str">
        <f>[1]!QUOTE(B1,"","年初来高値日付")</f>
        <v>2019/04/16</v>
      </c>
    </row>
    <row r="66" spans="1:2">
      <c r="A66" s="6" t="s">
        <v>64</v>
      </c>
      <c r="B66" s="5">
        <f>[1]!QUOTE(B1,"","年初来安値")</f>
        <v>6867</v>
      </c>
    </row>
    <row r="67" spans="1:2">
      <c r="A67" s="6" t="s">
        <v>65</v>
      </c>
      <c r="B67" s="5" t="str">
        <f>[1]!QUOTE(B1,"","年初来安値日付")</f>
        <v>2019/01/04</v>
      </c>
    </row>
    <row r="68" spans="1:2">
      <c r="A68" s="6" t="s">
        <v>66</v>
      </c>
      <c r="B68" s="5">
        <f>[1]!QUOTE(B1,"","5年来高値")</f>
        <v>12090</v>
      </c>
    </row>
    <row r="69" spans="1:2">
      <c r="A69" s="6" t="s">
        <v>67</v>
      </c>
      <c r="B69" s="5" t="str">
        <f>[1]!QUOTE(B1,"","5年来高値日付")</f>
        <v>2019/04/16</v>
      </c>
    </row>
    <row r="70" spans="1:2">
      <c r="A70" s="6" t="s">
        <v>68</v>
      </c>
      <c r="B70" s="5">
        <f>[1]!QUOTE(B1,"","5年来安値")</f>
        <v>4133</v>
      </c>
    </row>
    <row r="71" spans="1:2">
      <c r="A71" s="6" t="s">
        <v>69</v>
      </c>
      <c r="B71" s="5" t="str">
        <f>[1]!QUOTE(B1,"","5年来安値日付")</f>
        <v>2016/02/12</v>
      </c>
    </row>
    <row r="72" spans="1:2">
      <c r="A72" s="6" t="s">
        <v>70</v>
      </c>
      <c r="B72" s="5" t="str">
        <f>[1]!QUOTE(B1,"","逆日歩")</f>
        <v>2.2</v>
      </c>
    </row>
    <row r="73" spans="1:2">
      <c r="A73" s="6" t="s">
        <v>71</v>
      </c>
      <c r="B73" s="5">
        <f>[1]!QUOTE(B1,"","日歩日数")</f>
        <v>11</v>
      </c>
    </row>
    <row r="74" spans="1:2">
      <c r="A74" s="6" t="s">
        <v>72</v>
      </c>
      <c r="B74" s="5">
        <f>[1]!QUOTE(B1,"","信用売残")</f>
        <v>4037600</v>
      </c>
    </row>
    <row r="75" spans="1:2">
      <c r="A75" s="6" t="s">
        <v>73</v>
      </c>
      <c r="B75" s="5">
        <f>[1]!QUOTE(B1,"","信用買残")</f>
        <v>3786100</v>
      </c>
    </row>
    <row r="76" spans="1:2">
      <c r="A76" s="6" t="s">
        <v>74</v>
      </c>
      <c r="B76" s="5">
        <f>[1]!QUOTE(B1,"","信用売残前週比")</f>
        <v>-28200</v>
      </c>
    </row>
    <row r="77" spans="1:2">
      <c r="A77" s="6" t="s">
        <v>75</v>
      </c>
      <c r="B77" s="5">
        <f>[1]!QUOTE(B1,"","信用買残前週比")</f>
        <v>-466400</v>
      </c>
    </row>
    <row r="78" spans="1:2">
      <c r="A78" s="6" t="s">
        <v>76</v>
      </c>
      <c r="B78" s="5" t="str">
        <f>[1]!QUOTE(B1,"","一般信用残更新日付")</f>
        <v>19/04 3週</v>
      </c>
    </row>
    <row r="79" spans="1:2">
      <c r="A79" s="6" t="s">
        <v>77</v>
      </c>
      <c r="B79" s="5">
        <f>[1]!QUOTE(B1,"","一般信用買残")</f>
        <v>692200</v>
      </c>
    </row>
    <row r="80" spans="1:2">
      <c r="A80" s="6" t="s">
        <v>78</v>
      </c>
      <c r="B80" s="5">
        <f>[1]!QUOTE(B1,"","一般信用売残")</f>
        <v>432500</v>
      </c>
    </row>
    <row r="81" spans="1:2">
      <c r="A81" s="6" t="s">
        <v>79</v>
      </c>
      <c r="B81" s="5" t="str">
        <f>[1]!QUOTE(B1,"","制度信用残更新日付")</f>
        <v>19/04 3週</v>
      </c>
    </row>
    <row r="82" spans="1:2">
      <c r="A82" s="6" t="s">
        <v>80</v>
      </c>
      <c r="B82" s="5">
        <f>[1]!QUOTE(B1,"","制度信用買残")</f>
        <v>3093900</v>
      </c>
    </row>
    <row r="83" spans="1:2">
      <c r="A83" s="6" t="s">
        <v>81</v>
      </c>
      <c r="B83" s="5">
        <f>[1]!QUOTE(B1,"","制度信用売残")</f>
        <v>3605100</v>
      </c>
    </row>
    <row r="84" spans="1:2">
      <c r="A84" s="6" t="s">
        <v>82</v>
      </c>
      <c r="B84" s="5" t="str">
        <f>[1]!QUOTE(B1,"","証金名称")</f>
        <v>日証金</v>
      </c>
    </row>
    <row r="85" spans="1:2">
      <c r="A85" s="6" t="s">
        <v>83</v>
      </c>
      <c r="B85" s="5" t="str">
        <f>[1]!QUOTE(B1,"","速報日付")</f>
        <v>19-04-24速報</v>
      </c>
    </row>
    <row r="86" spans="1:2">
      <c r="A86" s="6" t="s">
        <v>84</v>
      </c>
      <c r="B86" s="5" t="str">
        <f>[1]!QUOTE(B1,"","貸株新規")</f>
        <v>54,100</v>
      </c>
    </row>
    <row r="87" spans="1:2">
      <c r="A87" s="6" t="s">
        <v>85</v>
      </c>
      <c r="B87" s="5" t="str">
        <f>[1]!QUOTE(B1,"","貸株返済")</f>
        <v>9,200</v>
      </c>
    </row>
    <row r="88" spans="1:2">
      <c r="A88" s="6" t="s">
        <v>86</v>
      </c>
      <c r="B88" s="5" t="str">
        <f>[1]!QUOTE(B1,"","貸株残高")</f>
        <v>906,900</v>
      </c>
    </row>
    <row r="89" spans="1:2">
      <c r="A89" s="6" t="s">
        <v>87</v>
      </c>
      <c r="B89" s="5" t="str">
        <f>[1]!QUOTE(B1,"","貸株前日比")</f>
        <v>44,900</v>
      </c>
    </row>
    <row r="90" spans="1:2">
      <c r="A90" s="6" t="s">
        <v>88</v>
      </c>
      <c r="B90" s="5" t="str">
        <f>[1]!QUOTE(B1,"","融資新規")</f>
        <v>9,400</v>
      </c>
    </row>
    <row r="91" spans="1:2">
      <c r="A91" s="6" t="s">
        <v>89</v>
      </c>
      <c r="B91" s="5" t="str">
        <f>[1]!QUOTE(B1,"","融資返済")</f>
        <v>79,500</v>
      </c>
    </row>
    <row r="92" spans="1:2">
      <c r="A92" s="6" t="s">
        <v>90</v>
      </c>
      <c r="B92" s="5" t="str">
        <f>[1]!QUOTE(B1,"","融資残高")</f>
        <v>275,500</v>
      </c>
    </row>
    <row r="93" spans="1:2">
      <c r="A93" s="6" t="s">
        <v>91</v>
      </c>
      <c r="B93" s="5" t="str">
        <f>[1]!QUOTE(B1,"","融資前日比")</f>
        <v>-70,100</v>
      </c>
    </row>
    <row r="94" spans="1:2">
      <c r="A94" s="6" t="s">
        <v>92</v>
      </c>
      <c r="B94" s="5" t="str">
        <f>[1]!QUOTE(B1,"","差引新規")</f>
        <v>-44,700</v>
      </c>
    </row>
    <row r="95" spans="1:2">
      <c r="A95" s="6" t="s">
        <v>93</v>
      </c>
      <c r="B95" s="5" t="str">
        <f>[1]!QUOTE(B1,"","差引返済")</f>
        <v>70,300</v>
      </c>
    </row>
    <row r="96" spans="1:2">
      <c r="A96" s="6" t="s">
        <v>94</v>
      </c>
      <c r="B96" s="5" t="str">
        <f>[1]!QUOTE(B1,"","差引残高")</f>
        <v>-631,400</v>
      </c>
    </row>
    <row r="97" spans="1:2">
      <c r="A97" s="6" t="s">
        <v>95</v>
      </c>
      <c r="B97" s="5" t="str">
        <f>[1]!QUOTE(B1,"","差引前日比")</f>
        <v>-115,000</v>
      </c>
    </row>
    <row r="98" spans="1:2">
      <c r="A98" s="6" t="s">
        <v>96</v>
      </c>
      <c r="B98" s="5" t="str">
        <f>[1]!QUOTE(B1,"","回転日数")</f>
        <v>13.0</v>
      </c>
    </row>
    <row r="99" spans="1:2">
      <c r="A99" s="6" t="s">
        <v>97</v>
      </c>
      <c r="B99" s="5" t="str">
        <f>[1]!QUOTE(B1,"","貸借倍率")</f>
        <v>0.3</v>
      </c>
    </row>
    <row r="100" spans="1:2">
      <c r="A100" s="6" t="s">
        <v>98</v>
      </c>
      <c r="B100" s="5" t="str">
        <f>[1]!QUOTE(B1,"","貸借値段")</f>
        <v>11550</v>
      </c>
    </row>
    <row r="101" spans="1:2">
      <c r="A101" s="6" t="s">
        <v>99</v>
      </c>
      <c r="B101" s="5" t="str">
        <f>[1]!QUOTE(B1,"","信用倍率(倍)")</f>
        <v>0.93</v>
      </c>
    </row>
    <row r="102" spans="1:2">
      <c r="A102" s="6" t="s">
        <v>100</v>
      </c>
      <c r="B102" s="5" t="str">
        <f>[1]!QUOTE(B1,"","対日経平均60日ベータ")</f>
        <v>0.91</v>
      </c>
    </row>
    <row r="103" spans="1:2">
      <c r="A103" s="6" t="s">
        <v>101</v>
      </c>
      <c r="B103" s="5" t="str">
        <f>[1]!QUOTE(B1,"","対日経平均52週ベータ")</f>
        <v>1.40</v>
      </c>
    </row>
    <row r="104" spans="1:2">
      <c r="A104" s="6" t="s">
        <v>102</v>
      </c>
      <c r="B104" s="5" t="str">
        <f>[1]!QUOTE(B1,"","対TOPIX60日ベータ")</f>
        <v>0.71</v>
      </c>
    </row>
    <row r="105" spans="1:2">
      <c r="A105" s="6" t="s">
        <v>103</v>
      </c>
      <c r="B105" s="5" t="str">
        <f>[1]!QUOTE(B1,"","対TOPIX52週ベータ")</f>
        <v>1.30</v>
      </c>
    </row>
    <row r="106" spans="1:2">
      <c r="A106" s="6" t="s">
        <v>104</v>
      </c>
      <c r="B106" s="5" t="str">
        <f>[1]!QUOTE(B1,"","HV")</f>
        <v>2.80</v>
      </c>
    </row>
    <row r="107" spans="1:2">
      <c r="A107" s="6" t="s">
        <v>105</v>
      </c>
      <c r="B107" s="5">
        <f>[1]!QUOTE(B1,"","約定数量")</f>
        <v>488500</v>
      </c>
    </row>
    <row r="108" spans="1:2">
      <c r="A108" s="6" t="s">
        <v>106</v>
      </c>
      <c r="B108" s="5" t="str">
        <f>[1]!QUOTE(B1,"","空売り規制状態")</f>
        <v>0</v>
      </c>
    </row>
  </sheetData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2019-04-24T13:47:20Z</dcterms:modified>
</cp:coreProperties>
</file>